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15360" windowHeight="9000" tabRatio="883" firstSheet="1" activeTab="2"/>
  </bookViews>
  <sheets>
    <sheet name="Database" sheetId="1" state="hidden" r:id="rId1"/>
    <sheet name="HELP" sheetId="2" r:id="rId2"/>
    <sheet name="Team " sheetId="3" r:id="rId3"/>
  </sheets>
  <definedNames>
    <definedName name="Conferences">'Database'!$O$70:$O$71</definedName>
    <definedName name="DBPlayers">'Database'!$D$4:$M$114</definedName>
    <definedName name="DBSkills">'Database'!$O$4:$P$54</definedName>
    <definedName name="DBTeams">'Database'!$A$4:$B$24</definedName>
    <definedName name="ExistsTx">'Database'!$A$57:$B$81</definedName>
    <definedName name="Finalranking">#REF!</definedName>
    <definedName name="GameTypes">'Database'!$A$43:$A$46</definedName>
    <definedName name="ListTeams">#REF!</definedName>
    <definedName name="NoTeams">'Database'!$A$54</definedName>
    <definedName name="PCOUNT_CP">#REF!</definedName>
    <definedName name="PCOUNT_CS">#REF!</definedName>
    <definedName name="PCOUNT_IN">#REF!</definedName>
    <definedName name="PCOUNT_SP">#REF!</definedName>
    <definedName name="PCOUNT_TD">#REF!</definedName>
    <definedName name="PCOUNT_VP">#REF!</definedName>
    <definedName name="_xlnm.Print_Area" localSheetId="2">'Team '!$B$2:$V$35</definedName>
    <definedName name="PSTAT_CP">#REF!</definedName>
    <definedName name="PSTAT_CS">#REF!</definedName>
    <definedName name="PSTAT_IN">#REF!</definedName>
    <definedName name="PSTAT_SP">#REF!</definedName>
    <definedName name="PSTAT_TD">#REF!</definedName>
    <definedName name="PSTAT_VP">#REF!</definedName>
    <definedName name="PSTATS">#REF!</definedName>
    <definedName name="PTS_LOSS">'Database'!$B$29</definedName>
    <definedName name="PTS_PER_CS_AG">'Database'!$B$33</definedName>
    <definedName name="PTS_PER_CS_FOR">'Database'!$B$32</definedName>
    <definedName name="PTS_PER_TD_AG">'Database'!$B$31</definedName>
    <definedName name="PTS_PER_TD_FOR">'Database'!$B$30</definedName>
    <definedName name="PTS_TIE">'Database'!$B$28</definedName>
    <definedName name="PTS_WIN">'Database'!$B$27</definedName>
    <definedName name="RankingSelection">#REF!</definedName>
    <definedName name="RES_A">#REF!</definedName>
    <definedName name="RES_CAS_A">#REF!</definedName>
    <definedName name="RES_CAS_H">#REF!</definedName>
    <definedName name="RES_GATE">#REF!</definedName>
    <definedName name="RES_H">#REF!</definedName>
    <definedName name="RES_PTS_A">#REF!</definedName>
    <definedName name="RES_PTS_H">#REF!</definedName>
    <definedName name="RES_TD_A">#REF!</definedName>
    <definedName name="RES_TD_H">#REF!</definedName>
    <definedName name="RES_TYPE">#REF!</definedName>
    <definedName name="RES_WIN_A">#REF!</definedName>
    <definedName name="RES_WIN_H">#REF!</definedName>
    <definedName name="RetireTypes">'Database'!$A$49:$A$51</definedName>
    <definedName name="SkillCosts">'Database'!$O$58:$P$67</definedName>
    <definedName name="SPP_CP">'Database'!$B$36</definedName>
    <definedName name="SPP_CS">'Database'!$B$39</definedName>
    <definedName name="SPP_IN">'Database'!$B$38</definedName>
    <definedName name="SPP_TD">'Database'!$B$37</definedName>
    <definedName name="SPP_VP">'Database'!$B$40</definedName>
    <definedName name="TeamRanking">#REF!</definedName>
  </definedNames>
  <calcPr fullCalcOnLoad="1"/>
</workbook>
</file>

<file path=xl/sharedStrings.xml><?xml version="1.0" encoding="utf-8"?>
<sst xmlns="http://schemas.openxmlformats.org/spreadsheetml/2006/main" count="707" uniqueCount="460">
  <si>
    <t>modify this data by inserting cells (not complete rows!) into the relevant area (fat frame) and check the name reference (same as fat font title) afterwards</t>
  </si>
  <si>
    <t>DBTeams</t>
  </si>
  <si>
    <t>DBPlayers</t>
  </si>
  <si>
    <t>DBSkills</t>
  </si>
  <si>
    <t>Name</t>
  </si>
  <si>
    <t>RR-Cost</t>
  </si>
  <si>
    <t>Race</t>
  </si>
  <si>
    <t>Max</t>
  </si>
  <si>
    <t>Position</t>
  </si>
  <si>
    <t>MA</t>
  </si>
  <si>
    <t>ST</t>
  </si>
  <si>
    <t>AG</t>
  </si>
  <si>
    <t>AV</t>
  </si>
  <si>
    <t>Skills, Traits and Racial Characteristics</t>
  </si>
  <si>
    <t>Picks</t>
  </si>
  <si>
    <t>Cost</t>
  </si>
  <si>
    <t>Group</t>
  </si>
  <si>
    <t>Amazon</t>
  </si>
  <si>
    <t>Amazon1</t>
  </si>
  <si>
    <t>Linewoman</t>
  </si>
  <si>
    <t>Dodge</t>
  </si>
  <si>
    <t>G</t>
  </si>
  <si>
    <t>Block</t>
  </si>
  <si>
    <t>Chaos</t>
  </si>
  <si>
    <t>Amazon2</t>
  </si>
  <si>
    <t>Thrower</t>
  </si>
  <si>
    <t>Dodge, Pass</t>
  </si>
  <si>
    <t xml:space="preserve">G P </t>
  </si>
  <si>
    <t>Dirty Player</t>
  </si>
  <si>
    <t>Chaos Dwarf</t>
  </si>
  <si>
    <t>Amazon3</t>
  </si>
  <si>
    <t>Catcher</t>
  </si>
  <si>
    <t>Dodge, Catch</t>
  </si>
  <si>
    <t>G A</t>
  </si>
  <si>
    <t>Fend</t>
  </si>
  <si>
    <t>Dark Elf</t>
  </si>
  <si>
    <t>Amazon4</t>
  </si>
  <si>
    <t>Blitzer</t>
  </si>
  <si>
    <t>Dodge, Block</t>
  </si>
  <si>
    <t>G S</t>
  </si>
  <si>
    <t>Wrestle</t>
  </si>
  <si>
    <t>Dwarf</t>
  </si>
  <si>
    <t>Chaos1</t>
  </si>
  <si>
    <t>Beastman</t>
  </si>
  <si>
    <t>Horns</t>
  </si>
  <si>
    <t>Kick</t>
  </si>
  <si>
    <t>Elf</t>
  </si>
  <si>
    <t>Chaos2</t>
  </si>
  <si>
    <t>Chaos Warrior</t>
  </si>
  <si>
    <t>Goblin</t>
  </si>
  <si>
    <t>Chaos3</t>
  </si>
  <si>
    <t>Minotaur</t>
  </si>
  <si>
    <t>S</t>
  </si>
  <si>
    <t>Pass Block</t>
  </si>
  <si>
    <t>Halfling</t>
  </si>
  <si>
    <t>Chaos Dwarf1</t>
  </si>
  <si>
    <t>Hobgoblin</t>
  </si>
  <si>
    <t>Pro</t>
  </si>
  <si>
    <t>High Elf</t>
  </si>
  <si>
    <t>Chaos Dwarf2</t>
  </si>
  <si>
    <t>Block, Tackle, Thick Skull</t>
  </si>
  <si>
    <t>Shadowing</t>
  </si>
  <si>
    <t>Human</t>
  </si>
  <si>
    <t>Chaos Dwarf3</t>
  </si>
  <si>
    <t>Bull Centaur</t>
  </si>
  <si>
    <t>Sprint, Sure Feet, Thick Skull</t>
  </si>
  <si>
    <t>Strip Ball</t>
  </si>
  <si>
    <t>Khemri</t>
  </si>
  <si>
    <t>Chaos Dwarf4</t>
  </si>
  <si>
    <t>Sure Hands</t>
  </si>
  <si>
    <t>Lizardmen</t>
  </si>
  <si>
    <t>Dark Elf1</t>
  </si>
  <si>
    <t>Lineelf</t>
  </si>
  <si>
    <t>Tackle</t>
  </si>
  <si>
    <t>Necromantic</t>
  </si>
  <si>
    <t>Dark Elf2</t>
  </si>
  <si>
    <t>Pass</t>
  </si>
  <si>
    <t>G A P</t>
  </si>
  <si>
    <t>Catch</t>
  </si>
  <si>
    <t>A</t>
  </si>
  <si>
    <t>Norse</t>
  </si>
  <si>
    <t>Dark Elf3</t>
  </si>
  <si>
    <t>Diving Catch</t>
  </si>
  <si>
    <t>Nurgle's Rotters</t>
  </si>
  <si>
    <t>Dark Elf4</t>
  </si>
  <si>
    <t>Diving Tackle</t>
  </si>
  <si>
    <t>Orc</t>
  </si>
  <si>
    <t>Dark Elf5</t>
  </si>
  <si>
    <t>Assassin</t>
  </si>
  <si>
    <t>Shadowing, Stab</t>
  </si>
  <si>
    <t>Ogre</t>
  </si>
  <si>
    <t>Dwarf1</t>
  </si>
  <si>
    <t>Jump Up</t>
  </si>
  <si>
    <t>Skaven</t>
  </si>
  <si>
    <t>Dwarf2</t>
  </si>
  <si>
    <t>Runner</t>
  </si>
  <si>
    <t>Sure Hands, Thick Skull</t>
  </si>
  <si>
    <t>Leap</t>
  </si>
  <si>
    <t>Undead</t>
  </si>
  <si>
    <t>Dwarf3</t>
  </si>
  <si>
    <t>Block, Thick Skull</t>
  </si>
  <si>
    <t>Side Step</t>
  </si>
  <si>
    <t>Dwarf4</t>
  </si>
  <si>
    <t>Troll Slayer</t>
  </si>
  <si>
    <t>Block, Dauntless, Frenzy, Thick Skull</t>
  </si>
  <si>
    <t>Sprint</t>
  </si>
  <si>
    <t>Wood Elf</t>
  </si>
  <si>
    <t>Dwarf5</t>
  </si>
  <si>
    <t>Deathroller</t>
  </si>
  <si>
    <t>Break Tackle, Dirty Player, Juggernaut, Mighty Blow, No Hands, Secret Weapon, Stand Firm</t>
  </si>
  <si>
    <t>Sure Feet</t>
  </si>
  <si>
    <t>Elf1</t>
  </si>
  <si>
    <t>Big Hand</t>
  </si>
  <si>
    <t>M</t>
  </si>
  <si>
    <t>League Points</t>
  </si>
  <si>
    <t>Elf2</t>
  </si>
  <si>
    <t>Claw</t>
  </si>
  <si>
    <t>PTS_WIN</t>
  </si>
  <si>
    <t>Elf3</t>
  </si>
  <si>
    <t>Catch, Nerves of Steel</t>
  </si>
  <si>
    <t>Extra Arms</t>
  </si>
  <si>
    <t>PTS_TIE</t>
  </si>
  <si>
    <t>Elf4</t>
  </si>
  <si>
    <t>Block, Sidestep</t>
  </si>
  <si>
    <t>Foul Appearance</t>
  </si>
  <si>
    <t>PTS_LOSS</t>
  </si>
  <si>
    <t>Goblin1</t>
  </si>
  <si>
    <t>Dodge, Stunty, Right Stuff</t>
  </si>
  <si>
    <t>PTS_PER_TD_FOR</t>
  </si>
  <si>
    <t>Goblin2</t>
  </si>
  <si>
    <t>Troll</t>
  </si>
  <si>
    <t>PTS_PER_TD_AG</t>
  </si>
  <si>
    <t>Goblin3</t>
  </si>
  <si>
    <t>Bombardier</t>
  </si>
  <si>
    <t>Bombardier, Dodge, No Hands, Secret Weapon, Stunty</t>
  </si>
  <si>
    <t>Prehensile Tail</t>
  </si>
  <si>
    <t>PTS_PER_CS_FOR</t>
  </si>
  <si>
    <t>Goblin4</t>
  </si>
  <si>
    <t>Pogoer</t>
  </si>
  <si>
    <t>Tentacles</t>
  </si>
  <si>
    <t>PTS_PER_CS_AG</t>
  </si>
  <si>
    <t>Goblin5</t>
  </si>
  <si>
    <t>Looney</t>
  </si>
  <si>
    <t>Chainsaw, No Hands, Secret Weapon, Stunty</t>
  </si>
  <si>
    <t>Two Heads</t>
  </si>
  <si>
    <t>Goblin6</t>
  </si>
  <si>
    <t>Fanatic</t>
  </si>
  <si>
    <t>Ball &amp; Chain, No Hands, Secret Weapon, Stunty</t>
  </si>
  <si>
    <t>Very Long Legs</t>
  </si>
  <si>
    <t>Star Player Points</t>
  </si>
  <si>
    <t>Halfling1</t>
  </si>
  <si>
    <t>Accurate</t>
  </si>
  <si>
    <t>P</t>
  </si>
  <si>
    <t>SPP_CP</t>
  </si>
  <si>
    <t>Halfling2</t>
  </si>
  <si>
    <t>Treeman</t>
  </si>
  <si>
    <t>Dump-Off</t>
  </si>
  <si>
    <t>SPP_TD</t>
  </si>
  <si>
    <t>High Elf1</t>
  </si>
  <si>
    <t>Hail Mary Pass</t>
  </si>
  <si>
    <t>SPP_IN</t>
  </si>
  <si>
    <t>High Elf2</t>
  </si>
  <si>
    <t>SPP_CS</t>
  </si>
  <si>
    <t>High Elf3</t>
  </si>
  <si>
    <t>Safe Throw</t>
  </si>
  <si>
    <t>SPP_VP</t>
  </si>
  <si>
    <t>High Elf4</t>
  </si>
  <si>
    <t>Break Tackle</t>
  </si>
  <si>
    <t>Human1</t>
  </si>
  <si>
    <t>Grab</t>
  </si>
  <si>
    <t>GameTypes</t>
  </si>
  <si>
    <t>Human2</t>
  </si>
  <si>
    <t>Guard</t>
  </si>
  <si>
    <t>Season</t>
  </si>
  <si>
    <t>Human3</t>
  </si>
  <si>
    <t>Pass, Sure Hands</t>
  </si>
  <si>
    <t>Juggernaut</t>
  </si>
  <si>
    <t>Old Season</t>
  </si>
  <si>
    <t>Human4</t>
  </si>
  <si>
    <t>Lineman</t>
  </si>
  <si>
    <t>Mighty Blow</t>
  </si>
  <si>
    <t>Playoffs</t>
  </si>
  <si>
    <t>Human5</t>
  </si>
  <si>
    <t>Multiple Block</t>
  </si>
  <si>
    <t>Quarter Finals</t>
  </si>
  <si>
    <t>Khemri1</t>
  </si>
  <si>
    <t>Skeleton</t>
  </si>
  <si>
    <t>Piling On</t>
  </si>
  <si>
    <t>Khemri2</t>
  </si>
  <si>
    <t>Thro-Ra</t>
  </si>
  <si>
    <t>G P</t>
  </si>
  <si>
    <t>Stand Firm</t>
  </si>
  <si>
    <t>RetireTypes</t>
  </si>
  <si>
    <t>Khemri3</t>
  </si>
  <si>
    <t>Blitz-Ra</t>
  </si>
  <si>
    <t>Strong Arm</t>
  </si>
  <si>
    <t>Dead</t>
  </si>
  <si>
    <t>Khemri4</t>
  </si>
  <si>
    <t>Mummy</t>
  </si>
  <si>
    <t>Thick Skull</t>
  </si>
  <si>
    <t>Retired</t>
  </si>
  <si>
    <t>Lizardmen1</t>
  </si>
  <si>
    <t>Skink</t>
  </si>
  <si>
    <t>Dodge, Stunty</t>
  </si>
  <si>
    <t>Coach</t>
  </si>
  <si>
    <t>Lizardmen2</t>
  </si>
  <si>
    <t>Saurus</t>
  </si>
  <si>
    <t>Dauntless</t>
  </si>
  <si>
    <t>Lizardmen3</t>
  </si>
  <si>
    <t>Kroxigor</t>
  </si>
  <si>
    <t>Frenzy</t>
  </si>
  <si>
    <t>NoTeams</t>
  </si>
  <si>
    <t>Necromantic1</t>
  </si>
  <si>
    <t>Zombie</t>
  </si>
  <si>
    <t>Leader</t>
  </si>
  <si>
    <t>Necromantic2</t>
  </si>
  <si>
    <t>Ghoul</t>
  </si>
  <si>
    <t>Nerves of Steel</t>
  </si>
  <si>
    <t>Necromantic3</t>
  </si>
  <si>
    <t>Wight</t>
  </si>
  <si>
    <t>ExistsTx</t>
  </si>
  <si>
    <t>Necromantic4</t>
  </si>
  <si>
    <t>Flesh Golem</t>
  </si>
  <si>
    <t>SkillCosts</t>
  </si>
  <si>
    <t>T1</t>
  </si>
  <si>
    <t>Necromantic5</t>
  </si>
  <si>
    <t>Werewolf</t>
  </si>
  <si>
    <t>Advancement</t>
  </si>
  <si>
    <t>T2</t>
  </si>
  <si>
    <t>Norse1</t>
  </si>
  <si>
    <t>InSkill</t>
  </si>
  <si>
    <t>T3</t>
  </si>
  <si>
    <t>Norse2</t>
  </si>
  <si>
    <t>OutSkill</t>
  </si>
  <si>
    <t>T4</t>
  </si>
  <si>
    <t>Norse3</t>
  </si>
  <si>
    <t>Block, Pass</t>
  </si>
  <si>
    <t>+1 MA</t>
  </si>
  <si>
    <t>T5</t>
  </si>
  <si>
    <t>Norse4</t>
  </si>
  <si>
    <t>Block, Frenzy, Jump Up</t>
  </si>
  <si>
    <t>+1 ST</t>
  </si>
  <si>
    <t>T6</t>
  </si>
  <si>
    <t>Norse5</t>
  </si>
  <si>
    <t>+1 AG</t>
  </si>
  <si>
    <t>T7</t>
  </si>
  <si>
    <t>Nurgle's Rotters1</t>
  </si>
  <si>
    <t>+1 AV</t>
  </si>
  <si>
    <t>T8</t>
  </si>
  <si>
    <t>Nurgle's Rotters2</t>
  </si>
  <si>
    <t>Rotter</t>
  </si>
  <si>
    <t>T9</t>
  </si>
  <si>
    <t>Nurgle's Rotters3</t>
  </si>
  <si>
    <t>Beast of Nurgle</t>
  </si>
  <si>
    <t>Conferences</t>
  </si>
  <si>
    <t>T10</t>
  </si>
  <si>
    <t>Orc1</t>
  </si>
  <si>
    <t>Lineorc</t>
  </si>
  <si>
    <t>T11</t>
  </si>
  <si>
    <t>Orc2</t>
  </si>
  <si>
    <t>T12</t>
  </si>
  <si>
    <t>Orc3</t>
  </si>
  <si>
    <t>T13</t>
  </si>
  <si>
    <t>Orc4</t>
  </si>
  <si>
    <t>Black Orc Blocker</t>
  </si>
  <si>
    <t>T14</t>
  </si>
  <si>
    <t>Orc5</t>
  </si>
  <si>
    <t>T15</t>
  </si>
  <si>
    <t>Orc6</t>
  </si>
  <si>
    <t>T16</t>
  </si>
  <si>
    <t>Ogre1</t>
  </si>
  <si>
    <t>T17</t>
  </si>
  <si>
    <t>Ogre2</t>
  </si>
  <si>
    <t>T18</t>
  </si>
  <si>
    <t>Skaven1</t>
  </si>
  <si>
    <t>Linerat</t>
  </si>
  <si>
    <t>T19</t>
  </si>
  <si>
    <t>Skaven2</t>
  </si>
  <si>
    <t>T20</t>
  </si>
  <si>
    <t>Skaven3</t>
  </si>
  <si>
    <t>Gutter Runner</t>
  </si>
  <si>
    <t>T21</t>
  </si>
  <si>
    <t>Skaven4</t>
  </si>
  <si>
    <t>T22</t>
  </si>
  <si>
    <t>Skaven5</t>
  </si>
  <si>
    <t>Rat Ogre</t>
  </si>
  <si>
    <t>Mighty Blow, Frenzy, Prehensile Tail, Loner, Wild Animal</t>
  </si>
  <si>
    <t>T23</t>
  </si>
  <si>
    <t>Undead1</t>
  </si>
  <si>
    <t>T24</t>
  </si>
  <si>
    <t>Undead2</t>
  </si>
  <si>
    <t>T25</t>
  </si>
  <si>
    <t>Undead3</t>
  </si>
  <si>
    <t>Undead4</t>
  </si>
  <si>
    <t>Undead5</t>
  </si>
  <si>
    <t>Thrall</t>
  </si>
  <si>
    <t>Vampire</t>
  </si>
  <si>
    <t>G A S</t>
  </si>
  <si>
    <t>Wood Elf1</t>
  </si>
  <si>
    <t>Wood Elf2</t>
  </si>
  <si>
    <t>Catch, Dodge</t>
  </si>
  <si>
    <t>Wood Elf3</t>
  </si>
  <si>
    <t>Wood Elf4</t>
  </si>
  <si>
    <t>Wardancer</t>
  </si>
  <si>
    <t>Block, Dodge, Leap</t>
  </si>
  <si>
    <t>Nr.</t>
  </si>
  <si>
    <t>max</t>
  </si>
  <si>
    <t>Skills</t>
  </si>
  <si>
    <t>Inj.</t>
  </si>
  <si>
    <t>CP</t>
  </si>
  <si>
    <t>TD</t>
  </si>
  <si>
    <t>IN</t>
  </si>
  <si>
    <t>CS</t>
  </si>
  <si>
    <t>VP</t>
  </si>
  <si>
    <t>SP</t>
  </si>
  <si>
    <t>Rassen</t>
  </si>
  <si>
    <t>Positionen</t>
  </si>
  <si>
    <t>Skill</t>
  </si>
  <si>
    <t>Pick</t>
  </si>
  <si>
    <t>Fehler</t>
  </si>
  <si>
    <t>BigGuy</t>
  </si>
  <si>
    <t xml:space="preserve">Conference: </t>
  </si>
  <si>
    <t xml:space="preserve">Coach: </t>
  </si>
  <si>
    <t>Advance-Name Stops</t>
  </si>
  <si>
    <t>Advancements</t>
  </si>
  <si>
    <t>Costs</t>
  </si>
  <si>
    <t>+</t>
  </si>
  <si>
    <t>InjuryCost</t>
  </si>
  <si>
    <t>#1</t>
  </si>
  <si>
    <t>#2</t>
  </si>
  <si>
    <t>#3</t>
  </si>
  <si>
    <t>#4</t>
  </si>
  <si>
    <t>#5</t>
  </si>
  <si>
    <t>#6</t>
  </si>
  <si>
    <t>Adv1</t>
  </si>
  <si>
    <t>Adv2</t>
  </si>
  <si>
    <t>Adv3</t>
  </si>
  <si>
    <t>Adv4</t>
  </si>
  <si>
    <t>Adv5</t>
  </si>
  <si>
    <t>Adv6</t>
  </si>
  <si>
    <t>Cost1</t>
  </si>
  <si>
    <t>Cost2</t>
  </si>
  <si>
    <t>Cost3</t>
  </si>
  <si>
    <t>Cost4</t>
  </si>
  <si>
    <t>Cost5</t>
  </si>
  <si>
    <t>Cost6</t>
  </si>
  <si>
    <t>Total:</t>
  </si>
  <si>
    <t>Re-Rolls:</t>
  </si>
  <si>
    <t>x</t>
  </si>
  <si>
    <t>=</t>
  </si>
  <si>
    <t>Current Ranking</t>
  </si>
  <si>
    <t>All Games</t>
  </si>
  <si>
    <t>Fan Factor:</t>
  </si>
  <si>
    <t xml:space="preserve">Match Record: </t>
  </si>
  <si>
    <t>Assistant Coaches:</t>
  </si>
  <si>
    <t xml:space="preserve">Touchdowns: </t>
  </si>
  <si>
    <t>Cheerleaders:</t>
  </si>
  <si>
    <t xml:space="preserve">Casualties: </t>
  </si>
  <si>
    <t>Apothecary:</t>
  </si>
  <si>
    <t xml:space="preserve">Average Gate: </t>
  </si>
  <si>
    <t>Treasury:</t>
  </si>
  <si>
    <t>Team Value:</t>
  </si>
  <si>
    <t>Banka:</t>
  </si>
  <si>
    <t>Amazon5</t>
  </si>
  <si>
    <t>Journeyman</t>
  </si>
  <si>
    <t>Loner</t>
  </si>
  <si>
    <t>G S M</t>
  </si>
  <si>
    <t>Loner, Frenzy, Horns, Mighty Blow, Thick Skull, Wild Animal</t>
  </si>
  <si>
    <t>Chaos4</t>
  </si>
  <si>
    <t>Loner, Horns</t>
  </si>
  <si>
    <t>Chaos Dwarf5</t>
  </si>
  <si>
    <t>Dump Off</t>
  </si>
  <si>
    <t>Witch elf</t>
  </si>
  <si>
    <t>Frenzy, Dodge, Jump Up</t>
  </si>
  <si>
    <t>Dark Elf6</t>
  </si>
  <si>
    <t>Blocker</t>
  </si>
  <si>
    <t>Dwarf6</t>
  </si>
  <si>
    <t>Loner, Block, Tackle, Thick Skull</t>
  </si>
  <si>
    <t>Elf5</t>
  </si>
  <si>
    <t>Dirty Player, Dodge, Leap, Secret Weapon, Stunty, Very Long Legs</t>
  </si>
  <si>
    <t>Loner, Always Hungry, Mighty Blow, Really Stupid, Regeneration, Throw Team-mate</t>
  </si>
  <si>
    <t>Goblin7</t>
  </si>
  <si>
    <t>Loner, Dodge, Stunty, Right Stuff</t>
  </si>
  <si>
    <t>Loner, Mighty Blow, Stand Firm, Strong Arm, Take Root, Thick Skull, Throw Team-mate</t>
  </si>
  <si>
    <t>Pass, Safe Throw</t>
  </si>
  <si>
    <t>High Elf5</t>
  </si>
  <si>
    <t>Mighty Blow, Thick Skull, Loner, Bone-head, Throw Team-mate</t>
  </si>
  <si>
    <t>Human6</t>
  </si>
  <si>
    <t>Regeneration</t>
  </si>
  <si>
    <t>Sure Hands, Pass, Regeneration</t>
  </si>
  <si>
    <t>Block, Regeneration</t>
  </si>
  <si>
    <t>Mighty Blow, Regeneration</t>
  </si>
  <si>
    <t>Khemri5</t>
  </si>
  <si>
    <t>Loner. Regeneration</t>
  </si>
  <si>
    <t>Mighty Blow, Thick Skull, Loner, Prehensile Tail, Bone-head</t>
  </si>
  <si>
    <t>Lizardmen4</t>
  </si>
  <si>
    <t>Loner, Dodge, Stunty</t>
  </si>
  <si>
    <t>Stand Firm, Thick Skull, Regeneration</t>
  </si>
  <si>
    <t>Frenzy, Claws, Regeneration</t>
  </si>
  <si>
    <t>Necromantic6</t>
  </si>
  <si>
    <t>Loner, Regeneration</t>
  </si>
  <si>
    <t>Block, Dauntless</t>
  </si>
  <si>
    <t>Berseker</t>
  </si>
  <si>
    <t>Ulfwerener</t>
  </si>
  <si>
    <t>Norse6</t>
  </si>
  <si>
    <t>Snow Troll</t>
  </si>
  <si>
    <t>Loner, Claw, Disturbing Presence, Frenzy, Wild Animal</t>
  </si>
  <si>
    <t>Norse7</t>
  </si>
  <si>
    <t>Loner, Block</t>
  </si>
  <si>
    <t>Decay, Nurgle's Rot</t>
  </si>
  <si>
    <t>G M</t>
  </si>
  <si>
    <t>Pestigor</t>
  </si>
  <si>
    <t>Horns, Nurgle's Rot, Regeneration</t>
  </si>
  <si>
    <t>Nurgle Warrior</t>
  </si>
  <si>
    <t>Disturbing Presence, Foul Appearance, Nurgle's Rot, Regeneration</t>
  </si>
  <si>
    <t>Nurgle's Rotters4</t>
  </si>
  <si>
    <t>Loner, Disturbing Presence, Foul Appearance, Mighty Blow, Nurgle's Rot, Really Stupid, Regeneration, Tentacles</t>
  </si>
  <si>
    <t>Nurgle's Rotters5</t>
  </si>
  <si>
    <t>Loner, Decay, Nurgle's Rot</t>
  </si>
  <si>
    <t>Mighty Blow, Regeneration, Loner, Really Stupid, Always Hungry, Throw Team-mate</t>
  </si>
  <si>
    <t>Orc7</t>
  </si>
  <si>
    <t>Snotling</t>
  </si>
  <si>
    <t>Dodge, Right Stuff, Side Step, Stunty, Titchy</t>
  </si>
  <si>
    <t>Bone-head, Mighty Blow, Thick Skull, Throe Team-mate</t>
  </si>
  <si>
    <t>Ogre3</t>
  </si>
  <si>
    <t>Loner, Dodge, Right Stuff, Side Step, Stunty, Titchy</t>
  </si>
  <si>
    <t>Skaven6</t>
  </si>
  <si>
    <t>Undead6</t>
  </si>
  <si>
    <t>Journeyman Zombie</t>
  </si>
  <si>
    <t>Undead7</t>
  </si>
  <si>
    <t>Journeyman Skeleton</t>
  </si>
  <si>
    <t>Vampire1</t>
  </si>
  <si>
    <t>Vampire2</t>
  </si>
  <si>
    <t>Hypnotic Gaze, Regeneration, Blood Lust</t>
  </si>
  <si>
    <t>Vampire3</t>
  </si>
  <si>
    <t>Wood Elf5</t>
  </si>
  <si>
    <t>Wood Elf6</t>
  </si>
  <si>
    <t>Kick-off Return</t>
  </si>
  <si>
    <t>Sneaky Git</t>
  </si>
  <si>
    <t>Disturbing Presence</t>
  </si>
  <si>
    <t>Halfling3</t>
  </si>
  <si>
    <t>-1 MA</t>
  </si>
  <si>
    <t>-1 ST</t>
  </si>
  <si>
    <t>-1 AG</t>
  </si>
  <si>
    <t>-1 AV</t>
  </si>
  <si>
    <t>Meno</t>
  </si>
  <si>
    <t>Pozícia</t>
  </si>
  <si>
    <t xml:space="preserve">Meno Teamu: </t>
  </si>
  <si>
    <t xml:space="preserve">Rasa: </t>
  </si>
  <si>
    <t>Cena</t>
  </si>
  <si>
    <t>Počet hráčov:</t>
  </si>
  <si>
    <t>Čo to robí:</t>
  </si>
  <si>
    <t>- automatický výpočet SPP bodov hráčov a kontrola počtu ich aktuálnych pozícií v teame</t>
  </si>
  <si>
    <t>- obsahuje kompletnú databázu hráčov a teamov podľa nových pravidiel našej ligy - PBBL1-11</t>
  </si>
  <si>
    <t>Ako sa používa?:</t>
  </si>
  <si>
    <t>- ak si vytváraš nové mužstvo, začni tým že si vyberieš z ponuky rasu, všetky pozície hráčov sa nastavia podľa vybranej rasy</t>
  </si>
  <si>
    <t>- ak tvoj hráč získa nejaký nový skill, ten mu pripíš do kolonky označenej "+", ak napíšeš názov skillu gramaticky správne, automaticky sa prepočíta aj hodnota hráča</t>
  </si>
  <si>
    <t>- ak sa hráčovi zvýši charakteristika dopíš do danej kolonky +1 AG alebo +1 AV ....a prepíš hodnotu pri danej charakteristike, tak isto sa automaticky prepočíta jeho cena. Ak je to prvá schopnosť, ktorú hráč získa, je potrebné to zapísať takto '+1 AG, alebo '-1 AG ....treba pred znamienko dať ' (inak excel bude myslieť, že chceš písať nejaký vzorec).</t>
  </si>
  <si>
    <t>- celková hodnota teamu sa prepočíta automaticky a tak isto aj cena re-rollov sa mení automaticky, nie je potrebné to editovať</t>
  </si>
  <si>
    <t>- ak má hráč kvôly zraneniu vynechať ďalší zápas do kolonky Inj. sa napíše MNG (miss next game) - ak je to správne cena hráča sa nebude započítavať do hodnoty Teamu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</si>
</sst>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\+0;\-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43"/>
      <name val="Tahoma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8"/>
      <color indexed="43"/>
      <name val="Tahoma"/>
      <family val="2"/>
    </font>
    <font>
      <sz val="8"/>
      <color indexed="60"/>
      <name val="Tahoma"/>
      <family val="2"/>
    </font>
    <font>
      <b/>
      <sz val="8"/>
      <color indexed="43"/>
      <name val="Tahoma"/>
      <family val="2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color indexed="51"/>
      <name val="Tahoma"/>
      <family val="2"/>
    </font>
    <font>
      <b/>
      <u val="single"/>
      <sz val="10"/>
      <color indexed="51"/>
      <name val="Tahoma"/>
      <family val="2"/>
    </font>
    <font>
      <b/>
      <sz val="10"/>
      <color indexed="51"/>
      <name val="Tahoma"/>
      <family val="2"/>
    </font>
    <font>
      <u val="single"/>
      <sz val="8"/>
      <color indexed="5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4" xfId="0" applyBorder="1" applyAlignment="1" quotePrefix="1">
      <alignment/>
    </xf>
    <xf numFmtId="0" fontId="0" fillId="0" borderId="6" xfId="0" applyBorder="1" applyAlignment="1" quotePrefix="1">
      <alignment/>
    </xf>
    <xf numFmtId="0" fontId="4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Border="1" applyAlignment="1">
      <alignment horizontal="right"/>
    </xf>
    <xf numFmtId="0" fontId="5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1" fontId="9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right" vertical="center"/>
      <protection locked="0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20" applyFont="1" applyFill="1" applyAlignment="1">
      <alignment horizontal="center"/>
    </xf>
    <xf numFmtId="0" fontId="15" fillId="2" borderId="0" xfId="0" applyFont="1" applyFill="1" applyAlignment="1" quotePrefix="1">
      <alignment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B1">
      <selection activeCell="K13" sqref="K13"/>
    </sheetView>
  </sheetViews>
  <sheetFormatPr defaultColWidth="9.140625" defaultRowHeight="12.75"/>
  <cols>
    <col min="1" max="1" width="11.421875" style="0" customWidth="1"/>
    <col min="2" max="2" width="10.00390625" style="0" customWidth="1"/>
    <col min="3" max="3" width="3.28125" style="0" customWidth="1"/>
    <col min="4" max="4" width="12.7109375" style="0" customWidth="1"/>
    <col min="5" max="5" width="4.8515625" style="1" customWidth="1"/>
    <col min="6" max="6" width="14.8515625" style="0" customWidth="1"/>
    <col min="7" max="10" width="3.421875" style="1" customWidth="1"/>
    <col min="11" max="11" width="64.140625" style="0" customWidth="1"/>
    <col min="12" max="12" width="6.57421875" style="0" customWidth="1"/>
    <col min="13" max="13" width="7.00390625" style="2" customWidth="1"/>
    <col min="14" max="14" width="3.28125" style="0" customWidth="1"/>
    <col min="15" max="15" width="15.140625" style="0" bestFit="1" customWidth="1"/>
    <col min="16" max="16" width="6.00390625" style="0" bestFit="1" customWidth="1"/>
    <col min="17" max="16384" width="11.421875" style="0" customWidth="1"/>
  </cols>
  <sheetData>
    <row r="1" ht="29.25" customHeight="1">
      <c r="A1" s="3" t="s">
        <v>0</v>
      </c>
    </row>
    <row r="2" spans="1:15" ht="12.75">
      <c r="A2" s="4" t="s">
        <v>1</v>
      </c>
      <c r="B2" s="5"/>
      <c r="D2" s="4" t="s">
        <v>2</v>
      </c>
      <c r="F2" s="5"/>
      <c r="G2" s="6"/>
      <c r="H2" s="6"/>
      <c r="I2" s="6"/>
      <c r="J2" s="6"/>
      <c r="K2" s="5"/>
      <c r="L2" s="5"/>
      <c r="M2" s="7"/>
      <c r="O2" s="8" t="s">
        <v>3</v>
      </c>
    </row>
    <row r="3" spans="1:16" ht="13.5" customHeight="1" thickBot="1">
      <c r="A3" s="5" t="s">
        <v>4</v>
      </c>
      <c r="B3" s="6" t="s">
        <v>5</v>
      </c>
      <c r="D3" s="5" t="s">
        <v>6</v>
      </c>
      <c r="E3" s="6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5" t="s">
        <v>13</v>
      </c>
      <c r="L3" s="9" t="s">
        <v>14</v>
      </c>
      <c r="M3" s="7" t="s">
        <v>15</v>
      </c>
      <c r="O3" t="s">
        <v>4</v>
      </c>
      <c r="P3" t="s">
        <v>16</v>
      </c>
    </row>
    <row r="4" spans="1:16" ht="12.75">
      <c r="A4" s="10" t="s">
        <v>17</v>
      </c>
      <c r="B4" s="11">
        <v>50000</v>
      </c>
      <c r="D4" s="10" t="s">
        <v>18</v>
      </c>
      <c r="E4" s="12">
        <v>16</v>
      </c>
      <c r="F4" s="13" t="s">
        <v>19</v>
      </c>
      <c r="G4" s="12">
        <v>6</v>
      </c>
      <c r="H4" s="12">
        <v>3</v>
      </c>
      <c r="I4" s="12">
        <v>3</v>
      </c>
      <c r="J4" s="12">
        <v>7</v>
      </c>
      <c r="K4" s="13" t="s">
        <v>20</v>
      </c>
      <c r="L4" s="13" t="s">
        <v>21</v>
      </c>
      <c r="M4" s="14">
        <v>50000</v>
      </c>
      <c r="O4" s="10" t="s">
        <v>22</v>
      </c>
      <c r="P4" s="11" t="s">
        <v>21</v>
      </c>
    </row>
    <row r="5" spans="1:16" ht="12.75">
      <c r="A5" s="15" t="s">
        <v>23</v>
      </c>
      <c r="B5" s="16">
        <v>70000</v>
      </c>
      <c r="D5" s="15" t="s">
        <v>24</v>
      </c>
      <c r="E5" s="6">
        <v>2</v>
      </c>
      <c r="F5" s="5" t="s">
        <v>25</v>
      </c>
      <c r="G5" s="6">
        <v>6</v>
      </c>
      <c r="H5" s="6">
        <v>3</v>
      </c>
      <c r="I5" s="6">
        <v>3</v>
      </c>
      <c r="J5" s="6">
        <v>7</v>
      </c>
      <c r="K5" s="5" t="s">
        <v>26</v>
      </c>
      <c r="L5" s="5" t="s">
        <v>27</v>
      </c>
      <c r="M5" s="17">
        <v>70000</v>
      </c>
      <c r="O5" s="15" t="s">
        <v>28</v>
      </c>
      <c r="P5" s="16" t="s">
        <v>21</v>
      </c>
    </row>
    <row r="6" spans="1:16" ht="12.75">
      <c r="A6" s="15" t="s">
        <v>29</v>
      </c>
      <c r="B6" s="16">
        <v>70000</v>
      </c>
      <c r="D6" s="15" t="s">
        <v>30</v>
      </c>
      <c r="E6" s="6">
        <v>2</v>
      </c>
      <c r="F6" s="5" t="s">
        <v>31</v>
      </c>
      <c r="G6" s="6">
        <v>6</v>
      </c>
      <c r="H6" s="6">
        <v>3</v>
      </c>
      <c r="I6" s="6">
        <v>3</v>
      </c>
      <c r="J6" s="6">
        <v>7</v>
      </c>
      <c r="K6" s="5" t="s">
        <v>32</v>
      </c>
      <c r="L6" s="18" t="s">
        <v>33</v>
      </c>
      <c r="M6" s="17">
        <v>70000</v>
      </c>
      <c r="O6" s="15" t="s">
        <v>34</v>
      </c>
      <c r="P6" s="16" t="s">
        <v>21</v>
      </c>
    </row>
    <row r="7" spans="1:16" ht="12.75">
      <c r="A7" s="15" t="s">
        <v>35</v>
      </c>
      <c r="B7" s="16">
        <v>50000</v>
      </c>
      <c r="D7" s="15" t="s">
        <v>36</v>
      </c>
      <c r="E7" s="6">
        <v>4</v>
      </c>
      <c r="F7" s="5" t="s">
        <v>37</v>
      </c>
      <c r="G7" s="6">
        <v>6</v>
      </c>
      <c r="H7" s="6">
        <v>3</v>
      </c>
      <c r="I7" s="6">
        <v>3</v>
      </c>
      <c r="J7" s="6">
        <v>7</v>
      </c>
      <c r="K7" s="5" t="s">
        <v>38</v>
      </c>
      <c r="L7" s="18" t="s">
        <v>39</v>
      </c>
      <c r="M7" s="17">
        <v>90000</v>
      </c>
      <c r="O7" s="15" t="s">
        <v>40</v>
      </c>
      <c r="P7" s="16" t="s">
        <v>21</v>
      </c>
    </row>
    <row r="8" spans="1:16" ht="12.75">
      <c r="A8" s="15" t="s">
        <v>41</v>
      </c>
      <c r="B8" s="16">
        <v>40000</v>
      </c>
      <c r="D8" s="15" t="s">
        <v>363</v>
      </c>
      <c r="E8" s="6">
        <v>16</v>
      </c>
      <c r="F8" s="18" t="s">
        <v>364</v>
      </c>
      <c r="G8" s="6">
        <v>6</v>
      </c>
      <c r="H8" s="6">
        <v>3</v>
      </c>
      <c r="I8" s="6">
        <v>3</v>
      </c>
      <c r="J8" s="6">
        <v>7</v>
      </c>
      <c r="K8" s="18" t="s">
        <v>365</v>
      </c>
      <c r="L8" s="18"/>
      <c r="M8" s="17">
        <v>50000</v>
      </c>
      <c r="O8" s="15" t="s">
        <v>45</v>
      </c>
      <c r="P8" s="16" t="s">
        <v>21</v>
      </c>
    </row>
    <row r="9" spans="1:16" ht="12.75">
      <c r="A9" s="15" t="s">
        <v>46</v>
      </c>
      <c r="B9" s="16">
        <v>50000</v>
      </c>
      <c r="D9" s="15" t="s">
        <v>42</v>
      </c>
      <c r="E9" s="6">
        <v>16</v>
      </c>
      <c r="F9" s="5" t="s">
        <v>43</v>
      </c>
      <c r="G9" s="6">
        <v>6</v>
      </c>
      <c r="H9" s="6">
        <v>3</v>
      </c>
      <c r="I9" s="6">
        <v>3</v>
      </c>
      <c r="J9" s="6">
        <v>8</v>
      </c>
      <c r="K9" s="5" t="s">
        <v>44</v>
      </c>
      <c r="L9" s="18" t="s">
        <v>366</v>
      </c>
      <c r="M9" s="17">
        <v>60000</v>
      </c>
      <c r="O9" s="15" t="s">
        <v>437</v>
      </c>
      <c r="P9" s="16" t="s">
        <v>21</v>
      </c>
    </row>
    <row r="10" spans="1:16" ht="12.75">
      <c r="A10" s="15" t="s">
        <v>49</v>
      </c>
      <c r="B10" s="16">
        <v>60000</v>
      </c>
      <c r="D10" s="15" t="s">
        <v>47</v>
      </c>
      <c r="E10" s="6">
        <v>4</v>
      </c>
      <c r="F10" s="5" t="s">
        <v>48</v>
      </c>
      <c r="G10" s="6">
        <v>5</v>
      </c>
      <c r="H10" s="6">
        <v>4</v>
      </c>
      <c r="I10" s="6">
        <v>3</v>
      </c>
      <c r="J10" s="6">
        <v>9</v>
      </c>
      <c r="K10" s="5"/>
      <c r="L10" s="18" t="s">
        <v>366</v>
      </c>
      <c r="M10" s="17">
        <v>100000</v>
      </c>
      <c r="O10" s="15" t="s">
        <v>53</v>
      </c>
      <c r="P10" s="16" t="s">
        <v>21</v>
      </c>
    </row>
    <row r="11" spans="1:16" ht="12.75">
      <c r="A11" s="15" t="s">
        <v>54</v>
      </c>
      <c r="B11" s="16">
        <v>60000</v>
      </c>
      <c r="D11" s="15" t="s">
        <v>50</v>
      </c>
      <c r="E11" s="6">
        <v>1</v>
      </c>
      <c r="F11" s="5" t="s">
        <v>51</v>
      </c>
      <c r="G11" s="6">
        <v>5</v>
      </c>
      <c r="H11" s="6">
        <v>5</v>
      </c>
      <c r="I11" s="6">
        <v>2</v>
      </c>
      <c r="J11" s="6">
        <v>8</v>
      </c>
      <c r="K11" s="5" t="s">
        <v>367</v>
      </c>
      <c r="L11" s="18" t="s">
        <v>52</v>
      </c>
      <c r="M11" s="17">
        <v>150000</v>
      </c>
      <c r="O11" s="15" t="s">
        <v>57</v>
      </c>
      <c r="P11" s="16" t="s">
        <v>21</v>
      </c>
    </row>
    <row r="12" spans="1:16" ht="12.75">
      <c r="A12" s="15" t="s">
        <v>58</v>
      </c>
      <c r="B12" s="16">
        <v>50000</v>
      </c>
      <c r="D12" s="15" t="s">
        <v>368</v>
      </c>
      <c r="E12" s="6">
        <v>16</v>
      </c>
      <c r="F12" s="18" t="s">
        <v>364</v>
      </c>
      <c r="G12" s="6">
        <v>6</v>
      </c>
      <c r="H12" s="6">
        <v>3</v>
      </c>
      <c r="I12" s="6">
        <v>3</v>
      </c>
      <c r="J12" s="6">
        <v>8</v>
      </c>
      <c r="K12" s="18" t="s">
        <v>369</v>
      </c>
      <c r="L12" s="18"/>
      <c r="M12" s="17">
        <v>60000</v>
      </c>
      <c r="O12" s="15" t="s">
        <v>61</v>
      </c>
      <c r="P12" s="16" t="s">
        <v>21</v>
      </c>
    </row>
    <row r="13" spans="1:16" ht="12.75">
      <c r="A13" s="15" t="s">
        <v>62</v>
      </c>
      <c r="B13" s="16">
        <v>50000</v>
      </c>
      <c r="D13" s="15" t="s">
        <v>55</v>
      </c>
      <c r="E13" s="6">
        <v>16</v>
      </c>
      <c r="F13" s="5" t="s">
        <v>56</v>
      </c>
      <c r="G13" s="6">
        <v>6</v>
      </c>
      <c r="H13" s="6">
        <v>3</v>
      </c>
      <c r="I13" s="6">
        <v>3</v>
      </c>
      <c r="J13" s="6">
        <v>7</v>
      </c>
      <c r="K13" s="5"/>
      <c r="L13" s="18" t="s">
        <v>21</v>
      </c>
      <c r="M13" s="17">
        <v>40000</v>
      </c>
      <c r="O13" s="15" t="s">
        <v>66</v>
      </c>
      <c r="P13" s="16" t="s">
        <v>21</v>
      </c>
    </row>
    <row r="14" spans="1:16" ht="12.75">
      <c r="A14" s="15" t="s">
        <v>67</v>
      </c>
      <c r="B14" s="16">
        <v>70000</v>
      </c>
      <c r="D14" s="15" t="s">
        <v>59</v>
      </c>
      <c r="E14" s="6">
        <v>6</v>
      </c>
      <c r="F14" s="5" t="s">
        <v>29</v>
      </c>
      <c r="G14" s="6">
        <v>4</v>
      </c>
      <c r="H14" s="6">
        <v>3</v>
      </c>
      <c r="I14" s="6">
        <v>2</v>
      </c>
      <c r="J14" s="6">
        <v>9</v>
      </c>
      <c r="K14" s="5" t="s">
        <v>60</v>
      </c>
      <c r="L14" s="18" t="s">
        <v>366</v>
      </c>
      <c r="M14" s="17">
        <v>70000</v>
      </c>
      <c r="O14" s="15" t="s">
        <v>69</v>
      </c>
      <c r="P14" s="16" t="s">
        <v>21</v>
      </c>
    </row>
    <row r="15" spans="1:16" ht="12.75">
      <c r="A15" s="15" t="s">
        <v>70</v>
      </c>
      <c r="B15" s="16">
        <v>60000</v>
      </c>
      <c r="D15" s="15" t="s">
        <v>63</v>
      </c>
      <c r="E15" s="6">
        <v>2</v>
      </c>
      <c r="F15" s="5" t="s">
        <v>64</v>
      </c>
      <c r="G15" s="6">
        <v>6</v>
      </c>
      <c r="H15" s="6">
        <v>4</v>
      </c>
      <c r="I15" s="6">
        <v>2</v>
      </c>
      <c r="J15" s="6">
        <v>9</v>
      </c>
      <c r="K15" s="5" t="s">
        <v>65</v>
      </c>
      <c r="L15" s="18" t="s">
        <v>39</v>
      </c>
      <c r="M15" s="17">
        <v>130000</v>
      </c>
      <c r="O15" s="15" t="s">
        <v>73</v>
      </c>
      <c r="P15" s="16" t="s">
        <v>21</v>
      </c>
    </row>
    <row r="16" spans="1:16" ht="12.75">
      <c r="A16" s="15" t="s">
        <v>74</v>
      </c>
      <c r="B16" s="16">
        <v>70000</v>
      </c>
      <c r="D16" s="15" t="s">
        <v>68</v>
      </c>
      <c r="E16" s="6">
        <v>1</v>
      </c>
      <c r="F16" s="5" t="s">
        <v>51</v>
      </c>
      <c r="G16" s="6">
        <v>5</v>
      </c>
      <c r="H16" s="6">
        <v>5</v>
      </c>
      <c r="I16" s="6">
        <v>2</v>
      </c>
      <c r="J16" s="6">
        <v>8</v>
      </c>
      <c r="K16" s="5" t="s">
        <v>367</v>
      </c>
      <c r="L16" s="18" t="s">
        <v>52</v>
      </c>
      <c r="M16" s="17">
        <v>150000</v>
      </c>
      <c r="O16" s="15" t="s">
        <v>78</v>
      </c>
      <c r="P16" s="16" t="s">
        <v>79</v>
      </c>
    </row>
    <row r="17" spans="1:16" ht="12.75">
      <c r="A17" s="15" t="s">
        <v>80</v>
      </c>
      <c r="B17" s="16">
        <v>60000</v>
      </c>
      <c r="D17" s="15" t="s">
        <v>370</v>
      </c>
      <c r="E17" s="6">
        <v>16</v>
      </c>
      <c r="F17" s="18" t="s">
        <v>364</v>
      </c>
      <c r="G17" s="6">
        <v>6</v>
      </c>
      <c r="H17" s="6">
        <v>3</v>
      </c>
      <c r="I17" s="6">
        <v>3</v>
      </c>
      <c r="J17" s="6">
        <v>7</v>
      </c>
      <c r="K17" s="18" t="s">
        <v>365</v>
      </c>
      <c r="L17" s="18"/>
      <c r="M17" s="17">
        <v>40000</v>
      </c>
      <c r="O17" s="15" t="s">
        <v>82</v>
      </c>
      <c r="P17" s="16" t="s">
        <v>79</v>
      </c>
    </row>
    <row r="18" spans="1:16" ht="12.75">
      <c r="A18" s="15" t="s">
        <v>83</v>
      </c>
      <c r="B18" s="16">
        <v>70000</v>
      </c>
      <c r="D18" s="15" t="s">
        <v>71</v>
      </c>
      <c r="E18" s="6">
        <v>16</v>
      </c>
      <c r="F18" s="5" t="s">
        <v>72</v>
      </c>
      <c r="G18" s="6">
        <v>6</v>
      </c>
      <c r="H18" s="6">
        <v>3</v>
      </c>
      <c r="I18" s="6">
        <v>4</v>
      </c>
      <c r="J18" s="6">
        <v>8</v>
      </c>
      <c r="K18" s="5"/>
      <c r="L18" s="18" t="s">
        <v>33</v>
      </c>
      <c r="M18" s="17">
        <v>70000</v>
      </c>
      <c r="O18" s="15" t="s">
        <v>85</v>
      </c>
      <c r="P18" s="16" t="s">
        <v>79</v>
      </c>
    </row>
    <row r="19" spans="1:16" ht="12.75">
      <c r="A19" s="15" t="s">
        <v>86</v>
      </c>
      <c r="B19" s="16">
        <v>60000</v>
      </c>
      <c r="D19" s="15" t="s">
        <v>75</v>
      </c>
      <c r="E19" s="6">
        <v>2</v>
      </c>
      <c r="F19" s="5" t="s">
        <v>95</v>
      </c>
      <c r="G19" s="6">
        <v>7</v>
      </c>
      <c r="H19" s="6">
        <v>3</v>
      </c>
      <c r="I19" s="6">
        <v>4</v>
      </c>
      <c r="J19" s="6">
        <v>7</v>
      </c>
      <c r="K19" s="5" t="s">
        <v>371</v>
      </c>
      <c r="L19" s="18" t="s">
        <v>77</v>
      </c>
      <c r="M19" s="17">
        <v>80000</v>
      </c>
      <c r="O19" s="15" t="s">
        <v>20</v>
      </c>
      <c r="P19" s="16" t="s">
        <v>79</v>
      </c>
    </row>
    <row r="20" spans="1:16" ht="12.75">
      <c r="A20" s="15" t="s">
        <v>90</v>
      </c>
      <c r="B20" s="16">
        <v>70000</v>
      </c>
      <c r="D20" s="15" t="s">
        <v>81</v>
      </c>
      <c r="E20" s="6">
        <v>2</v>
      </c>
      <c r="F20" s="5" t="s">
        <v>88</v>
      </c>
      <c r="G20" s="6">
        <v>6</v>
      </c>
      <c r="H20" s="6">
        <v>3</v>
      </c>
      <c r="I20" s="6">
        <v>4</v>
      </c>
      <c r="J20" s="6">
        <v>7</v>
      </c>
      <c r="K20" s="5" t="s">
        <v>89</v>
      </c>
      <c r="L20" s="18" t="s">
        <v>33</v>
      </c>
      <c r="M20" s="17">
        <v>90000</v>
      </c>
      <c r="O20" s="15" t="s">
        <v>92</v>
      </c>
      <c r="P20" s="16" t="s">
        <v>79</v>
      </c>
    </row>
    <row r="21" spans="1:16" ht="12.75">
      <c r="A21" s="15" t="s">
        <v>93</v>
      </c>
      <c r="B21" s="16">
        <v>60000</v>
      </c>
      <c r="D21" s="15" t="s">
        <v>84</v>
      </c>
      <c r="E21" s="6">
        <v>4</v>
      </c>
      <c r="F21" s="5" t="s">
        <v>37</v>
      </c>
      <c r="G21" s="6">
        <v>7</v>
      </c>
      <c r="H21" s="6">
        <v>3</v>
      </c>
      <c r="I21" s="6">
        <v>4</v>
      </c>
      <c r="J21" s="6">
        <v>8</v>
      </c>
      <c r="K21" s="5" t="s">
        <v>22</v>
      </c>
      <c r="L21" s="18" t="s">
        <v>33</v>
      </c>
      <c r="M21" s="17">
        <v>100000</v>
      </c>
      <c r="O21" s="15" t="s">
        <v>97</v>
      </c>
      <c r="P21" s="16" t="s">
        <v>79</v>
      </c>
    </row>
    <row r="22" spans="1:16" ht="12.75">
      <c r="A22" s="15" t="s">
        <v>98</v>
      </c>
      <c r="B22" s="16">
        <v>70000</v>
      </c>
      <c r="D22" s="15" t="s">
        <v>87</v>
      </c>
      <c r="E22" s="6">
        <v>2</v>
      </c>
      <c r="F22" s="18" t="s">
        <v>372</v>
      </c>
      <c r="G22" s="6">
        <v>7</v>
      </c>
      <c r="H22" s="6">
        <v>3</v>
      </c>
      <c r="I22" s="6">
        <v>4</v>
      </c>
      <c r="J22" s="6">
        <v>7</v>
      </c>
      <c r="K22" s="18" t="s">
        <v>373</v>
      </c>
      <c r="L22" s="18" t="s">
        <v>33</v>
      </c>
      <c r="M22" s="17">
        <v>110000</v>
      </c>
      <c r="O22" s="15" t="s">
        <v>101</v>
      </c>
      <c r="P22" s="16" t="s">
        <v>79</v>
      </c>
    </row>
    <row r="23" spans="1:16" ht="12.75">
      <c r="A23" s="15" t="s">
        <v>296</v>
      </c>
      <c r="B23" s="16">
        <v>70000</v>
      </c>
      <c r="D23" s="15" t="s">
        <v>374</v>
      </c>
      <c r="E23" s="6">
        <v>16</v>
      </c>
      <c r="F23" s="18" t="s">
        <v>364</v>
      </c>
      <c r="G23" s="6">
        <v>6</v>
      </c>
      <c r="H23" s="6">
        <v>3</v>
      </c>
      <c r="I23" s="6">
        <v>4</v>
      </c>
      <c r="J23" s="6">
        <v>8</v>
      </c>
      <c r="K23" s="18" t="s">
        <v>365</v>
      </c>
      <c r="L23" s="18"/>
      <c r="M23" s="17">
        <v>70000</v>
      </c>
      <c r="O23" s="15" t="s">
        <v>105</v>
      </c>
      <c r="P23" s="16" t="s">
        <v>79</v>
      </c>
    </row>
    <row r="24" spans="1:16" ht="13.5" customHeight="1" thickBot="1">
      <c r="A24" s="19" t="s">
        <v>106</v>
      </c>
      <c r="B24" s="20">
        <v>50000</v>
      </c>
      <c r="D24" s="15" t="s">
        <v>91</v>
      </c>
      <c r="E24" s="6">
        <v>16</v>
      </c>
      <c r="F24" s="5" t="s">
        <v>375</v>
      </c>
      <c r="G24" s="6">
        <v>4</v>
      </c>
      <c r="H24" s="6">
        <v>3</v>
      </c>
      <c r="I24" s="6">
        <v>2</v>
      </c>
      <c r="J24" s="6">
        <v>9</v>
      </c>
      <c r="K24" s="5" t="s">
        <v>60</v>
      </c>
      <c r="L24" s="18" t="s">
        <v>39</v>
      </c>
      <c r="M24" s="17">
        <v>70000</v>
      </c>
      <c r="O24" s="15" t="s">
        <v>110</v>
      </c>
      <c r="P24" s="16" t="s">
        <v>79</v>
      </c>
    </row>
    <row r="25" spans="4:16" ht="12.75">
      <c r="D25" s="15" t="s">
        <v>94</v>
      </c>
      <c r="E25" s="6">
        <v>2</v>
      </c>
      <c r="F25" s="5" t="s">
        <v>95</v>
      </c>
      <c r="G25" s="6">
        <v>6</v>
      </c>
      <c r="H25" s="6">
        <v>3</v>
      </c>
      <c r="I25" s="6">
        <v>3</v>
      </c>
      <c r="J25" s="6">
        <v>8</v>
      </c>
      <c r="K25" s="5" t="s">
        <v>96</v>
      </c>
      <c r="L25" s="18" t="s">
        <v>27</v>
      </c>
      <c r="M25" s="17">
        <v>80000</v>
      </c>
      <c r="O25" s="15" t="s">
        <v>112</v>
      </c>
      <c r="P25" s="16" t="s">
        <v>113</v>
      </c>
    </row>
    <row r="26" spans="1:16" ht="13.5" customHeight="1" thickBot="1">
      <c r="A26" s="21" t="s">
        <v>114</v>
      </c>
      <c r="D26" s="15" t="s">
        <v>99</v>
      </c>
      <c r="E26" s="6">
        <v>2</v>
      </c>
      <c r="F26" s="5" t="s">
        <v>37</v>
      </c>
      <c r="G26" s="6">
        <v>5</v>
      </c>
      <c r="H26" s="6">
        <v>3</v>
      </c>
      <c r="I26" s="6">
        <v>3</v>
      </c>
      <c r="J26" s="6">
        <v>9</v>
      </c>
      <c r="K26" s="5" t="s">
        <v>100</v>
      </c>
      <c r="L26" s="18" t="s">
        <v>39</v>
      </c>
      <c r="M26" s="17">
        <v>80000</v>
      </c>
      <c r="O26" s="15" t="s">
        <v>116</v>
      </c>
      <c r="P26" s="16" t="s">
        <v>113</v>
      </c>
    </row>
    <row r="27" spans="1:16" ht="12.75">
      <c r="A27" s="10" t="s">
        <v>117</v>
      </c>
      <c r="B27" s="11">
        <v>5</v>
      </c>
      <c r="D27" s="15" t="s">
        <v>102</v>
      </c>
      <c r="E27" s="6">
        <v>2</v>
      </c>
      <c r="F27" s="5" t="s">
        <v>103</v>
      </c>
      <c r="G27" s="6">
        <v>5</v>
      </c>
      <c r="H27" s="6">
        <v>3</v>
      </c>
      <c r="I27" s="6">
        <v>2</v>
      </c>
      <c r="J27" s="6">
        <v>8</v>
      </c>
      <c r="K27" s="5" t="s">
        <v>104</v>
      </c>
      <c r="L27" s="18" t="s">
        <v>39</v>
      </c>
      <c r="M27" s="17">
        <v>90000</v>
      </c>
      <c r="O27" s="15" t="s">
        <v>120</v>
      </c>
      <c r="P27" s="16" t="s">
        <v>113</v>
      </c>
    </row>
    <row r="28" spans="1:16" ht="12.75">
      <c r="A28" s="15" t="s">
        <v>121</v>
      </c>
      <c r="B28" s="16">
        <v>3</v>
      </c>
      <c r="D28" s="15" t="s">
        <v>107</v>
      </c>
      <c r="E28" s="6">
        <v>1</v>
      </c>
      <c r="F28" s="18" t="s">
        <v>108</v>
      </c>
      <c r="G28" s="6">
        <v>4</v>
      </c>
      <c r="H28" s="6">
        <v>7</v>
      </c>
      <c r="I28" s="6">
        <v>1</v>
      </c>
      <c r="J28" s="6">
        <v>10</v>
      </c>
      <c r="K28" s="18" t="s">
        <v>109</v>
      </c>
      <c r="L28" s="18" t="s">
        <v>52</v>
      </c>
      <c r="M28" s="17">
        <v>160000</v>
      </c>
      <c r="O28" s="15" t="s">
        <v>124</v>
      </c>
      <c r="P28" s="16" t="s">
        <v>113</v>
      </c>
    </row>
    <row r="29" spans="1:16" ht="12.75">
      <c r="A29" s="15" t="s">
        <v>125</v>
      </c>
      <c r="B29" s="16">
        <v>1</v>
      </c>
      <c r="D29" s="15" t="s">
        <v>376</v>
      </c>
      <c r="E29" s="6">
        <v>16</v>
      </c>
      <c r="F29" s="18" t="s">
        <v>364</v>
      </c>
      <c r="G29" s="6">
        <v>4</v>
      </c>
      <c r="H29" s="6">
        <v>3</v>
      </c>
      <c r="I29" s="6">
        <v>2</v>
      </c>
      <c r="J29" s="6">
        <v>9</v>
      </c>
      <c r="K29" s="5" t="s">
        <v>377</v>
      </c>
      <c r="L29" s="18"/>
      <c r="M29" s="17">
        <v>70000</v>
      </c>
      <c r="O29" s="15" t="s">
        <v>439</v>
      </c>
      <c r="P29" s="16" t="s">
        <v>113</v>
      </c>
    </row>
    <row r="30" spans="1:16" ht="12.75">
      <c r="A30" s="22" t="s">
        <v>128</v>
      </c>
      <c r="B30" s="16">
        <v>0</v>
      </c>
      <c r="D30" s="15" t="s">
        <v>111</v>
      </c>
      <c r="E30" s="6">
        <v>16</v>
      </c>
      <c r="F30" s="18" t="s">
        <v>72</v>
      </c>
      <c r="G30" s="6">
        <v>6</v>
      </c>
      <c r="H30" s="6">
        <v>3</v>
      </c>
      <c r="I30" s="6">
        <v>4</v>
      </c>
      <c r="J30" s="6">
        <v>7</v>
      </c>
      <c r="K30" s="5"/>
      <c r="L30" s="18" t="s">
        <v>33</v>
      </c>
      <c r="M30" s="17">
        <v>60000</v>
      </c>
      <c r="O30" s="15" t="s">
        <v>44</v>
      </c>
      <c r="P30" s="16" t="s">
        <v>113</v>
      </c>
    </row>
    <row r="31" spans="1:16" ht="12.75">
      <c r="A31" s="22" t="s">
        <v>131</v>
      </c>
      <c r="B31" s="16">
        <v>0</v>
      </c>
      <c r="D31" s="15" t="s">
        <v>115</v>
      </c>
      <c r="E31" s="6">
        <v>2</v>
      </c>
      <c r="F31" s="18" t="s">
        <v>25</v>
      </c>
      <c r="G31" s="6">
        <v>6</v>
      </c>
      <c r="H31" s="6">
        <v>3</v>
      </c>
      <c r="I31" s="6">
        <v>4</v>
      </c>
      <c r="J31" s="6">
        <v>7</v>
      </c>
      <c r="K31" s="18" t="s">
        <v>76</v>
      </c>
      <c r="L31" s="18" t="s">
        <v>77</v>
      </c>
      <c r="M31" s="17">
        <v>70000</v>
      </c>
      <c r="O31" s="15" t="s">
        <v>135</v>
      </c>
      <c r="P31" s="16" t="s">
        <v>113</v>
      </c>
    </row>
    <row r="32" spans="1:16" ht="12.75">
      <c r="A32" s="22" t="s">
        <v>136</v>
      </c>
      <c r="B32" s="16">
        <v>0</v>
      </c>
      <c r="D32" s="15" t="s">
        <v>118</v>
      </c>
      <c r="E32" s="6">
        <v>4</v>
      </c>
      <c r="F32" s="18" t="s">
        <v>31</v>
      </c>
      <c r="G32" s="6">
        <v>8</v>
      </c>
      <c r="H32" s="6">
        <v>3</v>
      </c>
      <c r="I32" s="6">
        <v>4</v>
      </c>
      <c r="J32" s="6">
        <v>7</v>
      </c>
      <c r="K32" s="18" t="s">
        <v>119</v>
      </c>
      <c r="L32" s="18" t="s">
        <v>33</v>
      </c>
      <c r="M32" s="17">
        <v>100000</v>
      </c>
      <c r="O32" s="15" t="s">
        <v>139</v>
      </c>
      <c r="P32" s="16" t="s">
        <v>113</v>
      </c>
    </row>
    <row r="33" spans="1:16" ht="13.5" customHeight="1" thickBot="1">
      <c r="A33" s="23" t="s">
        <v>140</v>
      </c>
      <c r="B33" s="20">
        <v>0</v>
      </c>
      <c r="D33" s="15" t="s">
        <v>122</v>
      </c>
      <c r="E33" s="6">
        <v>2</v>
      </c>
      <c r="F33" s="18" t="s">
        <v>37</v>
      </c>
      <c r="G33" s="6">
        <v>7</v>
      </c>
      <c r="H33" s="6">
        <v>3</v>
      </c>
      <c r="I33" s="6">
        <v>4</v>
      </c>
      <c r="J33" s="6">
        <v>8</v>
      </c>
      <c r="K33" s="18" t="s">
        <v>123</v>
      </c>
      <c r="L33" s="18" t="s">
        <v>33</v>
      </c>
      <c r="M33" s="17">
        <v>110000</v>
      </c>
      <c r="O33" s="15" t="s">
        <v>144</v>
      </c>
      <c r="P33" s="16" t="s">
        <v>113</v>
      </c>
    </row>
    <row r="34" spans="4:16" ht="12.75">
      <c r="D34" s="15" t="s">
        <v>378</v>
      </c>
      <c r="E34" s="6">
        <v>16</v>
      </c>
      <c r="F34" s="18" t="s">
        <v>364</v>
      </c>
      <c r="G34" s="6">
        <v>6</v>
      </c>
      <c r="H34" s="6">
        <v>3</v>
      </c>
      <c r="I34" s="6">
        <v>4</v>
      </c>
      <c r="J34" s="6">
        <v>7</v>
      </c>
      <c r="K34" s="18" t="s">
        <v>365</v>
      </c>
      <c r="L34" s="18"/>
      <c r="M34" s="17">
        <v>60000</v>
      </c>
      <c r="O34" s="15" t="s">
        <v>148</v>
      </c>
      <c r="P34" s="16" t="s">
        <v>113</v>
      </c>
    </row>
    <row r="35" spans="1:16" ht="13.5" customHeight="1" thickBot="1">
      <c r="A35" s="21" t="s">
        <v>149</v>
      </c>
      <c r="D35" s="15" t="s">
        <v>126</v>
      </c>
      <c r="E35" s="6">
        <v>16</v>
      </c>
      <c r="F35" s="5" t="s">
        <v>49</v>
      </c>
      <c r="G35" s="6">
        <v>6</v>
      </c>
      <c r="H35" s="6">
        <v>2</v>
      </c>
      <c r="I35" s="6">
        <v>3</v>
      </c>
      <c r="J35" s="6">
        <v>7</v>
      </c>
      <c r="K35" s="5" t="s">
        <v>127</v>
      </c>
      <c r="L35" s="18" t="s">
        <v>79</v>
      </c>
      <c r="M35" s="17">
        <v>40000</v>
      </c>
      <c r="O35" s="15" t="s">
        <v>151</v>
      </c>
      <c r="P35" s="16" t="s">
        <v>152</v>
      </c>
    </row>
    <row r="36" spans="1:16" ht="12.75">
      <c r="A36" s="10" t="s">
        <v>153</v>
      </c>
      <c r="B36" s="11">
        <v>1</v>
      </c>
      <c r="D36" s="15" t="s">
        <v>129</v>
      </c>
      <c r="E36" s="6">
        <v>2</v>
      </c>
      <c r="F36" s="5" t="s">
        <v>130</v>
      </c>
      <c r="G36" s="6">
        <v>4</v>
      </c>
      <c r="H36" s="6">
        <v>5</v>
      </c>
      <c r="I36" s="6">
        <v>1</v>
      </c>
      <c r="J36" s="6">
        <v>9</v>
      </c>
      <c r="K36" s="5" t="s">
        <v>380</v>
      </c>
      <c r="L36" s="18" t="s">
        <v>52</v>
      </c>
      <c r="M36" s="17">
        <v>110000</v>
      </c>
      <c r="O36" s="15" t="s">
        <v>156</v>
      </c>
      <c r="P36" s="16" t="s">
        <v>152</v>
      </c>
    </row>
    <row r="37" spans="1:16" ht="12.75">
      <c r="A37" s="15" t="s">
        <v>157</v>
      </c>
      <c r="B37" s="16">
        <v>3</v>
      </c>
      <c r="D37" s="15" t="s">
        <v>132</v>
      </c>
      <c r="E37" s="6">
        <v>1</v>
      </c>
      <c r="F37" s="18" t="s">
        <v>133</v>
      </c>
      <c r="G37" s="6">
        <v>6</v>
      </c>
      <c r="H37" s="6">
        <v>2</v>
      </c>
      <c r="I37" s="6">
        <v>3</v>
      </c>
      <c r="J37" s="6">
        <v>7</v>
      </c>
      <c r="K37" s="18" t="s">
        <v>134</v>
      </c>
      <c r="L37" s="18" t="s">
        <v>79</v>
      </c>
      <c r="M37" s="17">
        <v>40000</v>
      </c>
      <c r="O37" s="15" t="s">
        <v>159</v>
      </c>
      <c r="P37" s="16" t="s">
        <v>152</v>
      </c>
    </row>
    <row r="38" spans="1:16" ht="12.75">
      <c r="A38" s="15" t="s">
        <v>160</v>
      </c>
      <c r="B38" s="16">
        <v>2</v>
      </c>
      <c r="D38" s="15" t="s">
        <v>137</v>
      </c>
      <c r="E38" s="6">
        <v>1</v>
      </c>
      <c r="F38" s="18" t="s">
        <v>138</v>
      </c>
      <c r="G38" s="6">
        <v>7</v>
      </c>
      <c r="H38" s="6">
        <v>2</v>
      </c>
      <c r="I38" s="6">
        <v>3</v>
      </c>
      <c r="J38" s="6">
        <v>7</v>
      </c>
      <c r="K38" s="18" t="s">
        <v>379</v>
      </c>
      <c r="L38" s="18" t="s">
        <v>79</v>
      </c>
      <c r="M38" s="17">
        <v>40000</v>
      </c>
      <c r="O38" s="15" t="s">
        <v>76</v>
      </c>
      <c r="P38" s="16" t="s">
        <v>152</v>
      </c>
    </row>
    <row r="39" spans="1:16" ht="12.75">
      <c r="A39" s="15" t="s">
        <v>162</v>
      </c>
      <c r="B39" s="16">
        <v>2</v>
      </c>
      <c r="D39" s="15" t="s">
        <v>141</v>
      </c>
      <c r="E39" s="6">
        <v>1</v>
      </c>
      <c r="F39" s="18" t="s">
        <v>142</v>
      </c>
      <c r="G39" s="6">
        <v>6</v>
      </c>
      <c r="H39" s="6">
        <v>2</v>
      </c>
      <c r="I39" s="6">
        <v>3</v>
      </c>
      <c r="J39" s="6">
        <v>7</v>
      </c>
      <c r="K39" s="18" t="s">
        <v>143</v>
      </c>
      <c r="L39" s="18" t="s">
        <v>79</v>
      </c>
      <c r="M39" s="17">
        <v>40000</v>
      </c>
      <c r="O39" s="15" t="s">
        <v>164</v>
      </c>
      <c r="P39" s="16" t="s">
        <v>152</v>
      </c>
    </row>
    <row r="40" spans="1:16" ht="13.5" customHeight="1" thickBot="1">
      <c r="A40" s="19" t="s">
        <v>165</v>
      </c>
      <c r="B40" s="20">
        <v>5</v>
      </c>
      <c r="D40" s="15" t="s">
        <v>145</v>
      </c>
      <c r="E40" s="6">
        <v>1</v>
      </c>
      <c r="F40" s="18" t="s">
        <v>146</v>
      </c>
      <c r="G40" s="6">
        <v>3</v>
      </c>
      <c r="H40" s="6">
        <v>7</v>
      </c>
      <c r="I40" s="6">
        <v>3</v>
      </c>
      <c r="J40" s="6">
        <v>7</v>
      </c>
      <c r="K40" s="18" t="s">
        <v>147</v>
      </c>
      <c r="L40" s="18" t="s">
        <v>52</v>
      </c>
      <c r="M40" s="17">
        <v>70000</v>
      </c>
      <c r="O40" s="15" t="s">
        <v>167</v>
      </c>
      <c r="P40" s="16" t="s">
        <v>52</v>
      </c>
    </row>
    <row r="41" spans="4:16" ht="12.75">
      <c r="D41" s="15" t="s">
        <v>381</v>
      </c>
      <c r="E41" s="6">
        <v>16</v>
      </c>
      <c r="F41" s="18" t="s">
        <v>364</v>
      </c>
      <c r="G41" s="6">
        <v>6</v>
      </c>
      <c r="H41" s="6">
        <v>2</v>
      </c>
      <c r="I41" s="6">
        <v>3</v>
      </c>
      <c r="J41" s="6">
        <v>7</v>
      </c>
      <c r="K41" s="18" t="s">
        <v>382</v>
      </c>
      <c r="L41" s="18"/>
      <c r="M41" s="17">
        <v>40000</v>
      </c>
      <c r="O41" s="15" t="s">
        <v>169</v>
      </c>
      <c r="P41" s="16" t="s">
        <v>52</v>
      </c>
    </row>
    <row r="42" spans="1:16" ht="13.5" customHeight="1" thickBot="1">
      <c r="A42" s="21" t="s">
        <v>170</v>
      </c>
      <c r="D42" s="15" t="s">
        <v>150</v>
      </c>
      <c r="E42" s="6">
        <v>16</v>
      </c>
      <c r="F42" s="5" t="s">
        <v>54</v>
      </c>
      <c r="G42" s="6">
        <v>5</v>
      </c>
      <c r="H42" s="6">
        <v>2</v>
      </c>
      <c r="I42" s="6">
        <v>3</v>
      </c>
      <c r="J42" s="6">
        <v>6</v>
      </c>
      <c r="K42" s="5" t="s">
        <v>127</v>
      </c>
      <c r="L42" s="18" t="s">
        <v>79</v>
      </c>
      <c r="M42" s="17">
        <v>30000</v>
      </c>
      <c r="O42" s="15" t="s">
        <v>172</v>
      </c>
      <c r="P42" s="16" t="s">
        <v>52</v>
      </c>
    </row>
    <row r="43" spans="1:16" ht="12.75">
      <c r="A43" s="24" t="s">
        <v>173</v>
      </c>
      <c r="D43" s="15" t="s">
        <v>154</v>
      </c>
      <c r="E43" s="6">
        <v>2</v>
      </c>
      <c r="F43" s="5" t="s">
        <v>155</v>
      </c>
      <c r="G43" s="6">
        <v>2</v>
      </c>
      <c r="H43" s="6">
        <v>6</v>
      </c>
      <c r="I43" s="6">
        <v>1</v>
      </c>
      <c r="J43" s="6">
        <v>10</v>
      </c>
      <c r="K43" s="5" t="s">
        <v>383</v>
      </c>
      <c r="L43" s="18" t="s">
        <v>52</v>
      </c>
      <c r="M43" s="17">
        <v>120000</v>
      </c>
      <c r="O43" s="15" t="s">
        <v>176</v>
      </c>
      <c r="P43" s="16" t="s">
        <v>52</v>
      </c>
    </row>
    <row r="44" spans="1:16" ht="12.75">
      <c r="A44" s="25" t="s">
        <v>177</v>
      </c>
      <c r="D44" s="15" t="s">
        <v>440</v>
      </c>
      <c r="E44" s="6">
        <v>16</v>
      </c>
      <c r="F44" s="18" t="s">
        <v>364</v>
      </c>
      <c r="G44" s="6">
        <v>5</v>
      </c>
      <c r="H44" s="6">
        <v>2</v>
      </c>
      <c r="I44" s="6">
        <v>3</v>
      </c>
      <c r="J44" s="6">
        <v>6</v>
      </c>
      <c r="K44" s="18" t="s">
        <v>382</v>
      </c>
      <c r="L44" s="18"/>
      <c r="M44" s="17">
        <v>30000</v>
      </c>
      <c r="O44" s="15" t="s">
        <v>180</v>
      </c>
      <c r="P44" s="16" t="s">
        <v>52</v>
      </c>
    </row>
    <row r="45" spans="1:16" ht="12.75">
      <c r="A45" s="25" t="s">
        <v>181</v>
      </c>
      <c r="D45" s="15" t="s">
        <v>158</v>
      </c>
      <c r="E45" s="6">
        <v>16</v>
      </c>
      <c r="F45" s="5" t="s">
        <v>72</v>
      </c>
      <c r="G45" s="6">
        <v>6</v>
      </c>
      <c r="H45" s="6">
        <v>3</v>
      </c>
      <c r="I45" s="6">
        <v>4</v>
      </c>
      <c r="J45" s="6">
        <v>8</v>
      </c>
      <c r="K45" s="5"/>
      <c r="L45" s="18" t="s">
        <v>33</v>
      </c>
      <c r="M45" s="17">
        <v>70000</v>
      </c>
      <c r="O45" s="15" t="s">
        <v>183</v>
      </c>
      <c r="P45" s="16" t="s">
        <v>52</v>
      </c>
    </row>
    <row r="46" spans="1:16" ht="13.5" customHeight="1" thickBot="1">
      <c r="A46" s="26" t="s">
        <v>184</v>
      </c>
      <c r="D46" s="15" t="s">
        <v>161</v>
      </c>
      <c r="E46" s="6">
        <v>2</v>
      </c>
      <c r="F46" s="5" t="s">
        <v>25</v>
      </c>
      <c r="G46" s="6">
        <v>6</v>
      </c>
      <c r="H46" s="6">
        <v>3</v>
      </c>
      <c r="I46" s="6">
        <v>4</v>
      </c>
      <c r="J46" s="6">
        <v>8</v>
      </c>
      <c r="K46" s="5" t="s">
        <v>384</v>
      </c>
      <c r="L46" s="18" t="s">
        <v>77</v>
      </c>
      <c r="M46" s="17">
        <v>90000</v>
      </c>
      <c r="O46" s="15" t="s">
        <v>187</v>
      </c>
      <c r="P46" s="16" t="s">
        <v>52</v>
      </c>
    </row>
    <row r="47" spans="4:16" ht="12.75">
      <c r="D47" s="15" t="s">
        <v>163</v>
      </c>
      <c r="E47" s="6">
        <v>4</v>
      </c>
      <c r="F47" s="5" t="s">
        <v>31</v>
      </c>
      <c r="G47" s="6">
        <v>8</v>
      </c>
      <c r="H47" s="6">
        <v>3</v>
      </c>
      <c r="I47" s="6">
        <v>4</v>
      </c>
      <c r="J47" s="6">
        <v>7</v>
      </c>
      <c r="K47" s="5" t="s">
        <v>78</v>
      </c>
      <c r="L47" s="18" t="s">
        <v>33</v>
      </c>
      <c r="M47" s="17">
        <v>90000</v>
      </c>
      <c r="O47" s="15" t="s">
        <v>191</v>
      </c>
      <c r="P47" s="16" t="s">
        <v>52</v>
      </c>
    </row>
    <row r="48" spans="1:16" ht="13.5" customHeight="1" thickBot="1">
      <c r="A48" s="21" t="s">
        <v>192</v>
      </c>
      <c r="D48" s="15" t="s">
        <v>166</v>
      </c>
      <c r="E48" s="6">
        <v>2</v>
      </c>
      <c r="F48" s="5" t="s">
        <v>37</v>
      </c>
      <c r="G48" s="6">
        <v>7</v>
      </c>
      <c r="H48" s="6">
        <v>3</v>
      </c>
      <c r="I48" s="6">
        <v>4</v>
      </c>
      <c r="J48" s="6">
        <v>8</v>
      </c>
      <c r="K48" s="5" t="s">
        <v>22</v>
      </c>
      <c r="L48" s="18" t="s">
        <v>33</v>
      </c>
      <c r="M48" s="17">
        <v>100000</v>
      </c>
      <c r="O48" s="15" t="s">
        <v>195</v>
      </c>
      <c r="P48" s="16" t="s">
        <v>52</v>
      </c>
    </row>
    <row r="49" spans="1:16" ht="12.75">
      <c r="A49" s="24" t="s">
        <v>196</v>
      </c>
      <c r="D49" s="15" t="s">
        <v>385</v>
      </c>
      <c r="E49" s="6">
        <v>16</v>
      </c>
      <c r="F49" s="18" t="s">
        <v>364</v>
      </c>
      <c r="G49" s="6">
        <v>6</v>
      </c>
      <c r="H49" s="6">
        <v>3</v>
      </c>
      <c r="I49" s="6">
        <v>4</v>
      </c>
      <c r="J49" s="6">
        <v>8</v>
      </c>
      <c r="K49" s="18" t="s">
        <v>365</v>
      </c>
      <c r="L49" s="18"/>
      <c r="M49" s="17">
        <v>70000</v>
      </c>
      <c r="O49" s="15" t="s">
        <v>199</v>
      </c>
      <c r="P49" s="16" t="s">
        <v>52</v>
      </c>
    </row>
    <row r="50" spans="1:16" ht="12.75">
      <c r="A50" s="25" t="s">
        <v>200</v>
      </c>
      <c r="D50" s="15" t="s">
        <v>168</v>
      </c>
      <c r="E50" s="6">
        <v>4</v>
      </c>
      <c r="F50" s="5" t="s">
        <v>37</v>
      </c>
      <c r="G50" s="6">
        <v>7</v>
      </c>
      <c r="H50" s="6">
        <v>3</v>
      </c>
      <c r="I50" s="6">
        <v>3</v>
      </c>
      <c r="J50" s="6">
        <v>8</v>
      </c>
      <c r="K50" s="5" t="s">
        <v>22</v>
      </c>
      <c r="L50" s="18" t="s">
        <v>39</v>
      </c>
      <c r="M50" s="17">
        <v>90000</v>
      </c>
      <c r="O50" s="15" t="s">
        <v>438</v>
      </c>
      <c r="P50" s="16" t="s">
        <v>79</v>
      </c>
    </row>
    <row r="51" spans="1:16" ht="13.5" customHeight="1" thickBot="1">
      <c r="A51" s="26" t="s">
        <v>204</v>
      </c>
      <c r="D51" s="15" t="s">
        <v>171</v>
      </c>
      <c r="E51" s="6">
        <v>4</v>
      </c>
      <c r="F51" s="5" t="s">
        <v>31</v>
      </c>
      <c r="G51" s="6">
        <v>8</v>
      </c>
      <c r="H51" s="6">
        <v>2</v>
      </c>
      <c r="I51" s="6">
        <v>3</v>
      </c>
      <c r="J51" s="6">
        <v>7</v>
      </c>
      <c r="K51" s="5" t="s">
        <v>32</v>
      </c>
      <c r="L51" s="18" t="s">
        <v>33</v>
      </c>
      <c r="M51" s="17">
        <v>70000</v>
      </c>
      <c r="O51" s="15" t="s">
        <v>207</v>
      </c>
      <c r="P51" s="16" t="s">
        <v>21</v>
      </c>
    </row>
    <row r="52" spans="4:16" ht="12.75">
      <c r="D52" s="15" t="s">
        <v>174</v>
      </c>
      <c r="E52" s="6">
        <v>2</v>
      </c>
      <c r="F52" s="5" t="s">
        <v>25</v>
      </c>
      <c r="G52" s="6">
        <v>6</v>
      </c>
      <c r="H52" s="6">
        <v>3</v>
      </c>
      <c r="I52" s="6">
        <v>3</v>
      </c>
      <c r="J52" s="6">
        <v>8</v>
      </c>
      <c r="K52" s="5" t="s">
        <v>175</v>
      </c>
      <c r="L52" s="18" t="s">
        <v>27</v>
      </c>
      <c r="M52" s="17">
        <v>70000</v>
      </c>
      <c r="O52" s="15" t="s">
        <v>210</v>
      </c>
      <c r="P52" s="16" t="s">
        <v>21</v>
      </c>
    </row>
    <row r="53" spans="1:16" ht="13.5" customHeight="1" thickBot="1">
      <c r="A53" s="21" t="s">
        <v>211</v>
      </c>
      <c r="D53" s="15" t="s">
        <v>178</v>
      </c>
      <c r="E53" s="6">
        <v>16</v>
      </c>
      <c r="F53" s="5" t="s">
        <v>179</v>
      </c>
      <c r="G53" s="6">
        <v>6</v>
      </c>
      <c r="H53" s="6">
        <v>3</v>
      </c>
      <c r="I53" s="6">
        <v>3</v>
      </c>
      <c r="J53" s="6">
        <v>8</v>
      </c>
      <c r="K53" s="5"/>
      <c r="L53" s="18" t="s">
        <v>21</v>
      </c>
      <c r="M53" s="17">
        <v>50000</v>
      </c>
      <c r="O53" s="15" t="s">
        <v>214</v>
      </c>
      <c r="P53" s="16" t="s">
        <v>152</v>
      </c>
    </row>
    <row r="54" spans="1:16" ht="13.5" customHeight="1" thickBot="1">
      <c r="A54" s="27" t="e">
        <f>#REF!</f>
        <v>#REF!</v>
      </c>
      <c r="D54" s="15" t="s">
        <v>182</v>
      </c>
      <c r="E54" s="6">
        <v>1</v>
      </c>
      <c r="F54" s="5" t="s">
        <v>90</v>
      </c>
      <c r="G54" s="6">
        <v>5</v>
      </c>
      <c r="H54" s="6">
        <v>5</v>
      </c>
      <c r="I54" s="6">
        <v>2</v>
      </c>
      <c r="J54" s="6">
        <v>9</v>
      </c>
      <c r="K54" s="5" t="s">
        <v>386</v>
      </c>
      <c r="L54" s="18" t="s">
        <v>52</v>
      </c>
      <c r="M54" s="17">
        <v>140000</v>
      </c>
      <c r="O54" s="19" t="s">
        <v>217</v>
      </c>
      <c r="P54" s="20" t="s">
        <v>152</v>
      </c>
    </row>
    <row r="55" spans="4:13" ht="12.75">
      <c r="D55" s="15" t="s">
        <v>387</v>
      </c>
      <c r="E55" s="6">
        <v>16</v>
      </c>
      <c r="F55" s="18" t="s">
        <v>364</v>
      </c>
      <c r="G55" s="6">
        <v>6</v>
      </c>
      <c r="H55" s="6">
        <v>3</v>
      </c>
      <c r="I55" s="6">
        <v>3</v>
      </c>
      <c r="J55" s="6">
        <v>8</v>
      </c>
      <c r="K55" s="18" t="s">
        <v>365</v>
      </c>
      <c r="L55" s="18"/>
      <c r="M55" s="17">
        <v>50000</v>
      </c>
    </row>
    <row r="56" spans="1:15" ht="13.5" customHeight="1" thickBot="1">
      <c r="A56" s="21" t="s">
        <v>220</v>
      </c>
      <c r="D56" s="15" t="s">
        <v>185</v>
      </c>
      <c r="E56" s="6">
        <v>16</v>
      </c>
      <c r="F56" s="5" t="s">
        <v>186</v>
      </c>
      <c r="G56" s="6">
        <v>5</v>
      </c>
      <c r="H56" s="6">
        <v>3</v>
      </c>
      <c r="I56" s="6">
        <v>2</v>
      </c>
      <c r="J56" s="6">
        <v>7</v>
      </c>
      <c r="K56" s="5" t="s">
        <v>388</v>
      </c>
      <c r="L56" s="18" t="s">
        <v>21</v>
      </c>
      <c r="M56" s="17">
        <v>30000</v>
      </c>
      <c r="O56" s="8" t="s">
        <v>223</v>
      </c>
    </row>
    <row r="57" spans="1:16" ht="13.5" customHeight="1" thickBot="1">
      <c r="A57" s="10" t="s">
        <v>224</v>
      </c>
      <c r="B57" s="11" t="b">
        <f aca="true" ca="1" t="shared" si="0" ref="B57:B81">NOT(ISERROR(INDIRECT(T(A57)&amp;"!$A$1",TRUE)))</f>
        <v>0</v>
      </c>
      <c r="D57" s="15" t="s">
        <v>188</v>
      </c>
      <c r="E57" s="6">
        <v>2</v>
      </c>
      <c r="F57" s="5" t="s">
        <v>189</v>
      </c>
      <c r="G57" s="6">
        <v>6</v>
      </c>
      <c r="H57" s="6">
        <v>3</v>
      </c>
      <c r="I57" s="6">
        <v>2</v>
      </c>
      <c r="J57" s="6">
        <v>7</v>
      </c>
      <c r="K57" s="5" t="s">
        <v>389</v>
      </c>
      <c r="L57" s="18" t="s">
        <v>190</v>
      </c>
      <c r="M57" s="17">
        <v>60000</v>
      </c>
      <c r="O57" t="s">
        <v>227</v>
      </c>
      <c r="P57" t="s">
        <v>15</v>
      </c>
    </row>
    <row r="58" spans="1:16" ht="12.75">
      <c r="A58" s="15" t="s">
        <v>228</v>
      </c>
      <c r="B58" s="16" t="b">
        <f ca="1" t="shared" si="0"/>
        <v>0</v>
      </c>
      <c r="D58" s="15" t="s">
        <v>193</v>
      </c>
      <c r="E58" s="6">
        <v>2</v>
      </c>
      <c r="F58" s="5" t="s">
        <v>194</v>
      </c>
      <c r="G58" s="6">
        <v>6</v>
      </c>
      <c r="H58" s="6">
        <v>3</v>
      </c>
      <c r="I58" s="6">
        <v>2</v>
      </c>
      <c r="J58" s="6">
        <v>8</v>
      </c>
      <c r="K58" s="5" t="s">
        <v>390</v>
      </c>
      <c r="L58" s="18" t="s">
        <v>39</v>
      </c>
      <c r="M58" s="17">
        <v>80000</v>
      </c>
      <c r="O58" s="10" t="s">
        <v>230</v>
      </c>
      <c r="P58" s="11">
        <v>20000</v>
      </c>
    </row>
    <row r="59" spans="1:16" ht="12.75">
      <c r="A59" s="15" t="s">
        <v>231</v>
      </c>
      <c r="B59" s="16" t="b">
        <f ca="1" t="shared" si="0"/>
        <v>0</v>
      </c>
      <c r="D59" s="15" t="s">
        <v>197</v>
      </c>
      <c r="E59" s="6">
        <v>4</v>
      </c>
      <c r="F59" s="5" t="s">
        <v>198</v>
      </c>
      <c r="G59" s="6">
        <v>3</v>
      </c>
      <c r="H59" s="6">
        <v>5</v>
      </c>
      <c r="I59" s="6">
        <v>1</v>
      </c>
      <c r="J59" s="6">
        <v>9</v>
      </c>
      <c r="K59" s="5" t="s">
        <v>391</v>
      </c>
      <c r="L59" s="18" t="s">
        <v>52</v>
      </c>
      <c r="M59" s="17">
        <v>110000</v>
      </c>
      <c r="O59" s="15" t="s">
        <v>233</v>
      </c>
      <c r="P59" s="16">
        <v>30000</v>
      </c>
    </row>
    <row r="60" spans="1:16" ht="12.75">
      <c r="A60" s="15" t="s">
        <v>234</v>
      </c>
      <c r="B60" s="16" t="b">
        <f ca="1" t="shared" si="0"/>
        <v>0</v>
      </c>
      <c r="D60" s="15" t="s">
        <v>392</v>
      </c>
      <c r="E60" s="6">
        <v>16</v>
      </c>
      <c r="F60" s="18" t="s">
        <v>364</v>
      </c>
      <c r="G60" s="6">
        <v>5</v>
      </c>
      <c r="H60" s="6">
        <v>3</v>
      </c>
      <c r="I60" s="6">
        <v>2</v>
      </c>
      <c r="J60" s="6">
        <v>7</v>
      </c>
      <c r="K60" s="18" t="s">
        <v>393</v>
      </c>
      <c r="L60" s="18"/>
      <c r="M60" s="17">
        <v>30000</v>
      </c>
      <c r="O60" s="28" t="s">
        <v>237</v>
      </c>
      <c r="P60" s="16">
        <v>30000</v>
      </c>
    </row>
    <row r="61" spans="1:16" ht="12.75">
      <c r="A61" s="15" t="s">
        <v>238</v>
      </c>
      <c r="B61" s="16" t="b">
        <f ca="1" t="shared" si="0"/>
        <v>0</v>
      </c>
      <c r="D61" s="15" t="s">
        <v>201</v>
      </c>
      <c r="E61" s="6">
        <v>16</v>
      </c>
      <c r="F61" s="5" t="s">
        <v>202</v>
      </c>
      <c r="G61" s="6">
        <v>8</v>
      </c>
      <c r="H61" s="6">
        <v>2</v>
      </c>
      <c r="I61" s="6">
        <v>3</v>
      </c>
      <c r="J61" s="6">
        <v>7</v>
      </c>
      <c r="K61" s="5" t="s">
        <v>203</v>
      </c>
      <c r="L61" s="18" t="s">
        <v>79</v>
      </c>
      <c r="M61" s="17">
        <v>60000</v>
      </c>
      <c r="O61" s="28" t="s">
        <v>241</v>
      </c>
      <c r="P61" s="16">
        <v>50000</v>
      </c>
    </row>
    <row r="62" spans="1:16" ht="12.75">
      <c r="A62" s="15" t="s">
        <v>242</v>
      </c>
      <c r="B62" s="16" t="b">
        <f ca="1" t="shared" si="0"/>
        <v>0</v>
      </c>
      <c r="D62" s="15" t="s">
        <v>205</v>
      </c>
      <c r="E62" s="6">
        <v>6</v>
      </c>
      <c r="F62" s="5" t="s">
        <v>206</v>
      </c>
      <c r="G62" s="6">
        <v>6</v>
      </c>
      <c r="H62" s="6">
        <v>4</v>
      </c>
      <c r="I62" s="6">
        <v>1</v>
      </c>
      <c r="J62" s="6">
        <v>9</v>
      </c>
      <c r="K62" s="5"/>
      <c r="L62" s="18" t="s">
        <v>39</v>
      </c>
      <c r="M62" s="17">
        <v>80000</v>
      </c>
      <c r="O62" s="28" t="s">
        <v>244</v>
      </c>
      <c r="P62" s="16">
        <v>40000</v>
      </c>
    </row>
    <row r="63" spans="1:16" ht="13.5" customHeight="1">
      <c r="A63" s="15" t="s">
        <v>245</v>
      </c>
      <c r="B63" s="16" t="b">
        <f ca="1" t="shared" si="0"/>
        <v>0</v>
      </c>
      <c r="D63" s="15" t="s">
        <v>208</v>
      </c>
      <c r="E63" s="6">
        <v>1</v>
      </c>
      <c r="F63" s="5" t="s">
        <v>209</v>
      </c>
      <c r="G63" s="6">
        <v>6</v>
      </c>
      <c r="H63" s="6">
        <v>5</v>
      </c>
      <c r="I63" s="6">
        <v>1</v>
      </c>
      <c r="J63" s="6">
        <v>9</v>
      </c>
      <c r="K63" s="5" t="s">
        <v>394</v>
      </c>
      <c r="L63" s="18" t="s">
        <v>52</v>
      </c>
      <c r="M63" s="17">
        <v>140000</v>
      </c>
      <c r="O63" s="15" t="s">
        <v>247</v>
      </c>
      <c r="P63" s="16">
        <v>30000</v>
      </c>
    </row>
    <row r="64" spans="1:16" ht="12.75">
      <c r="A64" s="15" t="s">
        <v>248</v>
      </c>
      <c r="B64" s="16" t="b">
        <f ca="1" t="shared" si="0"/>
        <v>0</v>
      </c>
      <c r="D64" s="15" t="s">
        <v>395</v>
      </c>
      <c r="E64" s="6">
        <v>16</v>
      </c>
      <c r="F64" s="18" t="s">
        <v>364</v>
      </c>
      <c r="G64" s="6">
        <v>8</v>
      </c>
      <c r="H64" s="6">
        <v>2</v>
      </c>
      <c r="I64" s="6">
        <v>3</v>
      </c>
      <c r="J64" s="6">
        <v>7</v>
      </c>
      <c r="K64" s="18" t="s">
        <v>396</v>
      </c>
      <c r="L64" s="18"/>
      <c r="M64" s="17">
        <v>60000</v>
      </c>
      <c r="O64" s="28" t="s">
        <v>441</v>
      </c>
      <c r="P64" s="16">
        <v>0</v>
      </c>
    </row>
    <row r="65" spans="1:16" ht="13.5" customHeight="1">
      <c r="A65" s="15" t="s">
        <v>251</v>
      </c>
      <c r="B65" s="16" t="b">
        <f ca="1" t="shared" si="0"/>
        <v>0</v>
      </c>
      <c r="D65" s="15" t="s">
        <v>212</v>
      </c>
      <c r="E65" s="6">
        <v>16</v>
      </c>
      <c r="F65" s="5" t="s">
        <v>213</v>
      </c>
      <c r="G65" s="6">
        <v>4</v>
      </c>
      <c r="H65" s="6">
        <v>3</v>
      </c>
      <c r="I65" s="6">
        <v>2</v>
      </c>
      <c r="J65" s="6">
        <v>8</v>
      </c>
      <c r="K65" s="5" t="s">
        <v>388</v>
      </c>
      <c r="L65" s="18" t="s">
        <v>21</v>
      </c>
      <c r="M65" s="17">
        <v>40000</v>
      </c>
      <c r="O65" s="28" t="s">
        <v>442</v>
      </c>
      <c r="P65" s="16">
        <v>0</v>
      </c>
    </row>
    <row r="66" spans="1:16" ht="12.75">
      <c r="A66" s="15" t="s">
        <v>255</v>
      </c>
      <c r="B66" s="16" t="b">
        <f ca="1" t="shared" si="0"/>
        <v>0</v>
      </c>
      <c r="D66" s="15" t="s">
        <v>215</v>
      </c>
      <c r="E66" s="6">
        <v>2</v>
      </c>
      <c r="F66" s="5" t="s">
        <v>216</v>
      </c>
      <c r="G66" s="6">
        <v>7</v>
      </c>
      <c r="H66" s="6">
        <v>3</v>
      </c>
      <c r="I66" s="6">
        <v>3</v>
      </c>
      <c r="J66" s="6">
        <v>7</v>
      </c>
      <c r="K66" s="18" t="s">
        <v>20</v>
      </c>
      <c r="L66" s="18" t="s">
        <v>33</v>
      </c>
      <c r="M66" s="17">
        <v>70000</v>
      </c>
      <c r="O66" s="28" t="s">
        <v>443</v>
      </c>
      <c r="P66" s="16">
        <v>0</v>
      </c>
    </row>
    <row r="67" spans="1:16" ht="13.5" customHeight="1" thickBot="1">
      <c r="A67" s="15" t="s">
        <v>258</v>
      </c>
      <c r="B67" s="16" t="b">
        <f ca="1" t="shared" si="0"/>
        <v>0</v>
      </c>
      <c r="D67" s="15" t="s">
        <v>218</v>
      </c>
      <c r="E67" s="6">
        <v>2</v>
      </c>
      <c r="F67" s="5" t="s">
        <v>219</v>
      </c>
      <c r="G67" s="6">
        <v>6</v>
      </c>
      <c r="H67" s="6">
        <v>3</v>
      </c>
      <c r="I67" s="6">
        <v>3</v>
      </c>
      <c r="J67" s="6">
        <v>8</v>
      </c>
      <c r="K67" s="5" t="s">
        <v>390</v>
      </c>
      <c r="L67" s="18" t="s">
        <v>39</v>
      </c>
      <c r="M67" s="17">
        <v>90000</v>
      </c>
      <c r="O67" s="29" t="s">
        <v>444</v>
      </c>
      <c r="P67" s="20">
        <v>0</v>
      </c>
    </row>
    <row r="68" spans="1:13" ht="12.75">
      <c r="A68" s="15" t="s">
        <v>260</v>
      </c>
      <c r="B68" s="16" t="b">
        <f ca="1" t="shared" si="0"/>
        <v>0</v>
      </c>
      <c r="D68" s="15" t="s">
        <v>221</v>
      </c>
      <c r="E68" s="6">
        <v>2</v>
      </c>
      <c r="F68" s="18" t="s">
        <v>222</v>
      </c>
      <c r="G68" s="6">
        <v>4</v>
      </c>
      <c r="H68" s="6">
        <v>4</v>
      </c>
      <c r="I68" s="6">
        <v>2</v>
      </c>
      <c r="J68" s="6">
        <v>9</v>
      </c>
      <c r="K68" s="18" t="s">
        <v>397</v>
      </c>
      <c r="L68" s="18" t="s">
        <v>39</v>
      </c>
      <c r="M68" s="17">
        <v>110000</v>
      </c>
    </row>
    <row r="69" spans="1:15" ht="13.5" thickBot="1">
      <c r="A69" s="15" t="s">
        <v>262</v>
      </c>
      <c r="B69" s="16" t="b">
        <f ca="1" t="shared" si="0"/>
        <v>0</v>
      </c>
      <c r="D69" s="15" t="s">
        <v>225</v>
      </c>
      <c r="E69" s="6">
        <v>2</v>
      </c>
      <c r="F69" s="18" t="s">
        <v>226</v>
      </c>
      <c r="G69" s="6">
        <v>8</v>
      </c>
      <c r="H69" s="6">
        <v>3</v>
      </c>
      <c r="I69" s="6">
        <v>3</v>
      </c>
      <c r="J69" s="6">
        <v>8</v>
      </c>
      <c r="K69" s="18" t="s">
        <v>398</v>
      </c>
      <c r="L69" s="18" t="s">
        <v>33</v>
      </c>
      <c r="M69" s="17">
        <v>120000</v>
      </c>
      <c r="O69" s="30" t="s">
        <v>254</v>
      </c>
    </row>
    <row r="70" spans="1:15" ht="12.75">
      <c r="A70" s="15" t="s">
        <v>265</v>
      </c>
      <c r="B70" s="16" t="b">
        <f ca="1" t="shared" si="0"/>
        <v>0</v>
      </c>
      <c r="D70" s="15" t="s">
        <v>399</v>
      </c>
      <c r="E70" s="6">
        <v>16</v>
      </c>
      <c r="F70" s="18" t="s">
        <v>364</v>
      </c>
      <c r="G70" s="6">
        <v>4</v>
      </c>
      <c r="H70" s="6">
        <v>3</v>
      </c>
      <c r="I70" s="6">
        <v>2</v>
      </c>
      <c r="J70" s="6">
        <v>8</v>
      </c>
      <c r="K70" s="18" t="s">
        <v>400</v>
      </c>
      <c r="L70" s="18"/>
      <c r="M70" s="17">
        <v>40000</v>
      </c>
      <c r="O70" s="31"/>
    </row>
    <row r="71" spans="1:15" ht="13.5" thickBot="1">
      <c r="A71" s="15" t="s">
        <v>267</v>
      </c>
      <c r="B71" s="16" t="b">
        <f ca="1" t="shared" si="0"/>
        <v>0</v>
      </c>
      <c r="D71" s="15" t="s">
        <v>229</v>
      </c>
      <c r="E71" s="6">
        <v>16</v>
      </c>
      <c r="F71" s="5" t="s">
        <v>179</v>
      </c>
      <c r="G71" s="6">
        <v>6</v>
      </c>
      <c r="H71" s="6">
        <v>3</v>
      </c>
      <c r="I71" s="6">
        <v>3</v>
      </c>
      <c r="J71" s="6">
        <v>7</v>
      </c>
      <c r="K71" s="5" t="s">
        <v>22</v>
      </c>
      <c r="L71" s="18" t="s">
        <v>21</v>
      </c>
      <c r="M71" s="17">
        <v>50000</v>
      </c>
      <c r="O71" s="26"/>
    </row>
    <row r="72" spans="1:13" ht="12.75">
      <c r="A72" s="15" t="s">
        <v>269</v>
      </c>
      <c r="B72" s="16" t="b">
        <f ca="1" t="shared" si="0"/>
        <v>0</v>
      </c>
      <c r="D72" s="15" t="s">
        <v>232</v>
      </c>
      <c r="E72" s="6">
        <v>2</v>
      </c>
      <c r="F72" s="5" t="s">
        <v>95</v>
      </c>
      <c r="G72" s="6">
        <v>7</v>
      </c>
      <c r="H72" s="6">
        <v>3</v>
      </c>
      <c r="I72" s="6">
        <v>3</v>
      </c>
      <c r="J72" s="6">
        <v>7</v>
      </c>
      <c r="K72" s="5" t="s">
        <v>401</v>
      </c>
      <c r="L72" s="18" t="s">
        <v>33</v>
      </c>
      <c r="M72" s="17">
        <v>90000</v>
      </c>
    </row>
    <row r="73" spans="1:13" ht="12.75">
      <c r="A73" s="15" t="s">
        <v>271</v>
      </c>
      <c r="B73" s="16" t="b">
        <f ca="1" t="shared" si="0"/>
        <v>0</v>
      </c>
      <c r="D73" s="15" t="s">
        <v>235</v>
      </c>
      <c r="E73" s="6">
        <v>2</v>
      </c>
      <c r="F73" s="5" t="s">
        <v>25</v>
      </c>
      <c r="G73" s="6">
        <v>6</v>
      </c>
      <c r="H73" s="6">
        <v>3</v>
      </c>
      <c r="I73" s="6">
        <v>3</v>
      </c>
      <c r="J73" s="6">
        <v>7</v>
      </c>
      <c r="K73" s="5" t="s">
        <v>236</v>
      </c>
      <c r="L73" s="18" t="s">
        <v>27</v>
      </c>
      <c r="M73" s="17">
        <v>70000</v>
      </c>
    </row>
    <row r="74" spans="1:13" ht="12.75">
      <c r="A74" s="15" t="s">
        <v>273</v>
      </c>
      <c r="B74" s="16" t="b">
        <f ca="1" t="shared" si="0"/>
        <v>0</v>
      </c>
      <c r="D74" s="15" t="s">
        <v>239</v>
      </c>
      <c r="E74" s="6">
        <v>2</v>
      </c>
      <c r="F74" s="5" t="s">
        <v>402</v>
      </c>
      <c r="G74" s="6">
        <v>6</v>
      </c>
      <c r="H74" s="6">
        <v>3</v>
      </c>
      <c r="I74" s="6">
        <v>3</v>
      </c>
      <c r="J74" s="6">
        <v>7</v>
      </c>
      <c r="K74" s="5" t="s">
        <v>240</v>
      </c>
      <c r="L74" s="18" t="s">
        <v>39</v>
      </c>
      <c r="M74" s="17">
        <v>90000</v>
      </c>
    </row>
    <row r="75" spans="1:13" ht="12.75">
      <c r="A75" s="15" t="s">
        <v>276</v>
      </c>
      <c r="B75" s="16" t="b">
        <f ca="1" t="shared" si="0"/>
        <v>0</v>
      </c>
      <c r="D75" s="15" t="s">
        <v>243</v>
      </c>
      <c r="E75" s="6">
        <v>2</v>
      </c>
      <c r="F75" s="5" t="s">
        <v>403</v>
      </c>
      <c r="G75" s="6">
        <v>6</v>
      </c>
      <c r="H75" s="6">
        <v>4</v>
      </c>
      <c r="I75" s="6">
        <v>2</v>
      </c>
      <c r="J75" s="6">
        <v>8</v>
      </c>
      <c r="K75" s="5" t="s">
        <v>210</v>
      </c>
      <c r="L75" s="18" t="s">
        <v>39</v>
      </c>
      <c r="M75" s="17">
        <v>110000</v>
      </c>
    </row>
    <row r="76" spans="1:13" ht="12.75">
      <c r="A76" s="15" t="s">
        <v>278</v>
      </c>
      <c r="B76" s="16" t="b">
        <f ca="1" t="shared" si="0"/>
        <v>0</v>
      </c>
      <c r="D76" s="15" t="s">
        <v>404</v>
      </c>
      <c r="E76" s="6">
        <v>1</v>
      </c>
      <c r="F76" s="18" t="s">
        <v>405</v>
      </c>
      <c r="G76" s="6">
        <v>5</v>
      </c>
      <c r="H76" s="6">
        <v>5</v>
      </c>
      <c r="I76" s="6">
        <v>1</v>
      </c>
      <c r="J76" s="6">
        <v>8</v>
      </c>
      <c r="K76" s="18" t="s">
        <v>406</v>
      </c>
      <c r="L76" s="18" t="s">
        <v>52</v>
      </c>
      <c r="M76" s="17">
        <v>140000</v>
      </c>
    </row>
    <row r="77" spans="1:13" ht="12.75">
      <c r="A77" s="15" t="s">
        <v>281</v>
      </c>
      <c r="B77" s="16" t="b">
        <f ca="1" t="shared" si="0"/>
        <v>0</v>
      </c>
      <c r="D77" s="15" t="s">
        <v>407</v>
      </c>
      <c r="E77" s="6">
        <v>16</v>
      </c>
      <c r="F77" s="18" t="s">
        <v>364</v>
      </c>
      <c r="G77" s="6">
        <v>6</v>
      </c>
      <c r="H77" s="6">
        <v>3</v>
      </c>
      <c r="I77" s="6">
        <v>3</v>
      </c>
      <c r="J77" s="6">
        <v>7</v>
      </c>
      <c r="K77" s="18" t="s">
        <v>408</v>
      </c>
      <c r="L77" s="18"/>
      <c r="M77" s="17">
        <v>50000</v>
      </c>
    </row>
    <row r="78" spans="1:13" ht="12.75">
      <c r="A78" s="15" t="s">
        <v>283</v>
      </c>
      <c r="B78" s="16" t="b">
        <f ca="1" t="shared" si="0"/>
        <v>0</v>
      </c>
      <c r="D78" s="15" t="s">
        <v>246</v>
      </c>
      <c r="E78" s="6">
        <v>16</v>
      </c>
      <c r="F78" s="18" t="s">
        <v>250</v>
      </c>
      <c r="G78" s="6">
        <v>5</v>
      </c>
      <c r="H78" s="6">
        <v>3</v>
      </c>
      <c r="I78" s="6">
        <v>3</v>
      </c>
      <c r="J78" s="6">
        <v>8</v>
      </c>
      <c r="K78" s="18" t="s">
        <v>409</v>
      </c>
      <c r="L78" s="18" t="s">
        <v>410</v>
      </c>
      <c r="M78" s="17">
        <v>40000</v>
      </c>
    </row>
    <row r="79" spans="1:13" ht="12.75">
      <c r="A79" s="15" t="s">
        <v>287</v>
      </c>
      <c r="B79" s="16" t="b">
        <f ca="1" t="shared" si="0"/>
        <v>0</v>
      </c>
      <c r="D79" s="15" t="s">
        <v>249</v>
      </c>
      <c r="E79" s="6">
        <v>4</v>
      </c>
      <c r="F79" s="18" t="s">
        <v>411</v>
      </c>
      <c r="G79" s="6">
        <v>6</v>
      </c>
      <c r="H79" s="6">
        <v>3</v>
      </c>
      <c r="I79" s="6">
        <v>3</v>
      </c>
      <c r="J79" s="6">
        <v>8</v>
      </c>
      <c r="K79" s="18" t="s">
        <v>412</v>
      </c>
      <c r="L79" s="18" t="s">
        <v>366</v>
      </c>
      <c r="M79" s="17">
        <v>80000</v>
      </c>
    </row>
    <row r="80" spans="1:13" ht="12.75">
      <c r="A80" s="15" t="s">
        <v>289</v>
      </c>
      <c r="B80" s="16" t="b">
        <f ca="1" t="shared" si="0"/>
        <v>0</v>
      </c>
      <c r="D80" s="15" t="s">
        <v>252</v>
      </c>
      <c r="E80" s="6">
        <v>4</v>
      </c>
      <c r="F80" s="18" t="s">
        <v>413</v>
      </c>
      <c r="G80" s="6">
        <v>4</v>
      </c>
      <c r="H80" s="6">
        <v>4</v>
      </c>
      <c r="I80" s="6">
        <v>2</v>
      </c>
      <c r="J80" s="6">
        <v>9</v>
      </c>
      <c r="K80" s="18" t="s">
        <v>414</v>
      </c>
      <c r="L80" s="18" t="s">
        <v>366</v>
      </c>
      <c r="M80" s="17">
        <v>110000</v>
      </c>
    </row>
    <row r="81" spans="1:13" ht="13.5" customHeight="1" thickBot="1">
      <c r="A81" s="19" t="s">
        <v>291</v>
      </c>
      <c r="B81" s="20" t="b">
        <f ca="1" t="shared" si="0"/>
        <v>0</v>
      </c>
      <c r="D81" s="15" t="s">
        <v>415</v>
      </c>
      <c r="E81" s="6">
        <v>1</v>
      </c>
      <c r="F81" s="18" t="s">
        <v>253</v>
      </c>
      <c r="G81" s="6">
        <v>4</v>
      </c>
      <c r="H81" s="6">
        <v>5</v>
      </c>
      <c r="I81" s="6">
        <v>1</v>
      </c>
      <c r="J81" s="6">
        <v>9</v>
      </c>
      <c r="K81" s="18" t="s">
        <v>416</v>
      </c>
      <c r="L81" s="18" t="s">
        <v>52</v>
      </c>
      <c r="M81" s="17">
        <v>140000</v>
      </c>
    </row>
    <row r="82" spans="4:13" ht="12.75">
      <c r="D82" s="15" t="s">
        <v>417</v>
      </c>
      <c r="E82" s="6">
        <v>16</v>
      </c>
      <c r="F82" s="18" t="s">
        <v>364</v>
      </c>
      <c r="G82" s="6">
        <v>5</v>
      </c>
      <c r="H82" s="6">
        <v>3</v>
      </c>
      <c r="I82" s="6">
        <v>3</v>
      </c>
      <c r="J82" s="6">
        <v>8</v>
      </c>
      <c r="K82" s="18" t="s">
        <v>418</v>
      </c>
      <c r="L82" s="18"/>
      <c r="M82" s="17">
        <v>40000</v>
      </c>
    </row>
    <row r="83" spans="4:13" ht="12.75">
      <c r="D83" s="15" t="s">
        <v>256</v>
      </c>
      <c r="E83" s="6">
        <v>16</v>
      </c>
      <c r="F83" s="5" t="s">
        <v>257</v>
      </c>
      <c r="G83" s="6">
        <v>5</v>
      </c>
      <c r="H83" s="6">
        <v>3</v>
      </c>
      <c r="I83" s="6">
        <v>3</v>
      </c>
      <c r="J83" s="6">
        <v>9</v>
      </c>
      <c r="K83" s="5"/>
      <c r="L83" s="18" t="s">
        <v>21</v>
      </c>
      <c r="M83" s="17">
        <v>50000</v>
      </c>
    </row>
    <row r="84" spans="4:13" ht="12.75">
      <c r="D84" s="15" t="s">
        <v>259</v>
      </c>
      <c r="E84" s="6">
        <v>4</v>
      </c>
      <c r="F84" s="5" t="s">
        <v>49</v>
      </c>
      <c r="G84" s="6">
        <v>6</v>
      </c>
      <c r="H84" s="6">
        <v>2</v>
      </c>
      <c r="I84" s="6">
        <v>3</v>
      </c>
      <c r="J84" s="6">
        <v>7</v>
      </c>
      <c r="K84" s="5" t="s">
        <v>127</v>
      </c>
      <c r="L84" s="18" t="s">
        <v>79</v>
      </c>
      <c r="M84" s="17">
        <v>40000</v>
      </c>
    </row>
    <row r="85" spans="4:13" ht="12.75">
      <c r="D85" s="15" t="s">
        <v>261</v>
      </c>
      <c r="E85" s="6">
        <v>2</v>
      </c>
      <c r="F85" s="5" t="s">
        <v>25</v>
      </c>
      <c r="G85" s="6">
        <v>5</v>
      </c>
      <c r="H85" s="6">
        <v>3</v>
      </c>
      <c r="I85" s="6">
        <v>3</v>
      </c>
      <c r="J85" s="6">
        <v>8</v>
      </c>
      <c r="K85" s="5" t="s">
        <v>175</v>
      </c>
      <c r="L85" s="18" t="s">
        <v>27</v>
      </c>
      <c r="M85" s="17">
        <v>70000</v>
      </c>
    </row>
    <row r="86" spans="4:13" ht="12.75">
      <c r="D86" s="15" t="s">
        <v>263</v>
      </c>
      <c r="E86" s="6">
        <v>4</v>
      </c>
      <c r="F86" s="5" t="s">
        <v>264</v>
      </c>
      <c r="G86" s="6">
        <v>4</v>
      </c>
      <c r="H86" s="6">
        <v>4</v>
      </c>
      <c r="I86" s="6">
        <v>2</v>
      </c>
      <c r="J86" s="6">
        <v>9</v>
      </c>
      <c r="K86" s="5"/>
      <c r="L86" s="18" t="s">
        <v>39</v>
      </c>
      <c r="M86" s="17">
        <v>80000</v>
      </c>
    </row>
    <row r="87" spans="4:13" ht="12.75">
      <c r="D87" s="15" t="s">
        <v>266</v>
      </c>
      <c r="E87" s="6">
        <v>4</v>
      </c>
      <c r="F87" s="5" t="s">
        <v>37</v>
      </c>
      <c r="G87" s="6">
        <v>6</v>
      </c>
      <c r="H87" s="6">
        <v>3</v>
      </c>
      <c r="I87" s="6">
        <v>3</v>
      </c>
      <c r="J87" s="6">
        <v>9</v>
      </c>
      <c r="K87" s="5" t="s">
        <v>22</v>
      </c>
      <c r="L87" s="18" t="s">
        <v>39</v>
      </c>
      <c r="M87" s="17">
        <v>80000</v>
      </c>
    </row>
    <row r="88" spans="4:13" ht="12.75">
      <c r="D88" s="15" t="s">
        <v>268</v>
      </c>
      <c r="E88" s="6">
        <v>1</v>
      </c>
      <c r="F88" s="5" t="s">
        <v>130</v>
      </c>
      <c r="G88" s="6">
        <v>4</v>
      </c>
      <c r="H88" s="6">
        <v>5</v>
      </c>
      <c r="I88" s="6">
        <v>1</v>
      </c>
      <c r="J88" s="6">
        <v>9</v>
      </c>
      <c r="K88" s="5" t="s">
        <v>419</v>
      </c>
      <c r="L88" s="18" t="s">
        <v>52</v>
      </c>
      <c r="M88" s="17">
        <v>110000</v>
      </c>
    </row>
    <row r="89" spans="4:13" ht="13.5" customHeight="1">
      <c r="D89" s="15" t="s">
        <v>420</v>
      </c>
      <c r="E89" s="6">
        <v>16</v>
      </c>
      <c r="F89" s="18" t="s">
        <v>364</v>
      </c>
      <c r="G89" s="6">
        <v>5</v>
      </c>
      <c r="H89" s="6">
        <v>3</v>
      </c>
      <c r="I89" s="6">
        <v>3</v>
      </c>
      <c r="J89" s="6">
        <v>9</v>
      </c>
      <c r="K89" s="18" t="s">
        <v>365</v>
      </c>
      <c r="L89" s="18"/>
      <c r="M89" s="17">
        <v>50000</v>
      </c>
    </row>
    <row r="90" spans="4:13" ht="13.5" customHeight="1">
      <c r="D90" s="15" t="s">
        <v>270</v>
      </c>
      <c r="E90" s="6">
        <v>16</v>
      </c>
      <c r="F90" s="5" t="s">
        <v>421</v>
      </c>
      <c r="G90" s="6">
        <v>5</v>
      </c>
      <c r="H90" s="6">
        <v>1</v>
      </c>
      <c r="I90" s="6">
        <v>3</v>
      </c>
      <c r="J90" s="6">
        <v>5</v>
      </c>
      <c r="K90" s="5" t="s">
        <v>422</v>
      </c>
      <c r="L90" s="18" t="s">
        <v>79</v>
      </c>
      <c r="M90" s="17">
        <v>20000</v>
      </c>
    </row>
    <row r="91" spans="4:13" ht="13.5" customHeight="1">
      <c r="D91" s="15" t="s">
        <v>272</v>
      </c>
      <c r="E91" s="6">
        <v>6</v>
      </c>
      <c r="F91" s="5" t="s">
        <v>90</v>
      </c>
      <c r="G91" s="6">
        <v>5</v>
      </c>
      <c r="H91" s="6">
        <v>5</v>
      </c>
      <c r="I91" s="6">
        <v>2</v>
      </c>
      <c r="J91" s="6">
        <v>9</v>
      </c>
      <c r="K91" s="5" t="s">
        <v>423</v>
      </c>
      <c r="L91" s="18" t="s">
        <v>52</v>
      </c>
      <c r="M91" s="17">
        <v>140000</v>
      </c>
    </row>
    <row r="92" spans="4:13" ht="12.75">
      <c r="D92" s="15" t="s">
        <v>424</v>
      </c>
      <c r="E92" s="6">
        <v>16</v>
      </c>
      <c r="F92" s="18" t="s">
        <v>364</v>
      </c>
      <c r="G92" s="6">
        <v>5</v>
      </c>
      <c r="H92" s="6">
        <v>1</v>
      </c>
      <c r="I92" s="6">
        <v>3</v>
      </c>
      <c r="J92" s="6">
        <v>5</v>
      </c>
      <c r="K92" s="18" t="s">
        <v>425</v>
      </c>
      <c r="L92" s="18"/>
      <c r="M92" s="17">
        <v>20000</v>
      </c>
    </row>
    <row r="93" spans="4:13" ht="12.75">
      <c r="D93" s="15" t="s">
        <v>274</v>
      </c>
      <c r="E93" s="6">
        <v>16</v>
      </c>
      <c r="F93" s="5" t="s">
        <v>275</v>
      </c>
      <c r="G93" s="6">
        <v>7</v>
      </c>
      <c r="H93" s="6">
        <v>3</v>
      </c>
      <c r="I93" s="6">
        <v>3</v>
      </c>
      <c r="J93" s="6">
        <v>7</v>
      </c>
      <c r="K93" s="5"/>
      <c r="L93" s="18" t="s">
        <v>21</v>
      </c>
      <c r="M93" s="17">
        <v>50000</v>
      </c>
    </row>
    <row r="94" spans="4:13" ht="12.75">
      <c r="D94" s="15" t="s">
        <v>277</v>
      </c>
      <c r="E94" s="6">
        <v>2</v>
      </c>
      <c r="F94" s="5" t="s">
        <v>25</v>
      </c>
      <c r="G94" s="6">
        <v>7</v>
      </c>
      <c r="H94" s="6">
        <v>3</v>
      </c>
      <c r="I94" s="6">
        <v>3</v>
      </c>
      <c r="J94" s="6">
        <v>7</v>
      </c>
      <c r="K94" s="5" t="s">
        <v>175</v>
      </c>
      <c r="L94" s="18" t="s">
        <v>190</v>
      </c>
      <c r="M94" s="17">
        <v>70000</v>
      </c>
    </row>
    <row r="95" spans="4:13" ht="12.75">
      <c r="D95" s="15" t="s">
        <v>279</v>
      </c>
      <c r="E95" s="6">
        <v>4</v>
      </c>
      <c r="F95" s="5" t="s">
        <v>280</v>
      </c>
      <c r="G95" s="6">
        <v>9</v>
      </c>
      <c r="H95" s="6">
        <v>2</v>
      </c>
      <c r="I95" s="6">
        <v>4</v>
      </c>
      <c r="J95" s="6">
        <v>7</v>
      </c>
      <c r="K95" s="5" t="s">
        <v>20</v>
      </c>
      <c r="L95" s="18" t="s">
        <v>33</v>
      </c>
      <c r="M95" s="17">
        <v>80000</v>
      </c>
    </row>
    <row r="96" spans="4:13" ht="12.75">
      <c r="D96" s="15" t="s">
        <v>282</v>
      </c>
      <c r="E96" s="6">
        <v>2</v>
      </c>
      <c r="F96" s="5" t="s">
        <v>37</v>
      </c>
      <c r="G96" s="6">
        <v>7</v>
      </c>
      <c r="H96" s="6">
        <v>3</v>
      </c>
      <c r="I96" s="6">
        <v>3</v>
      </c>
      <c r="J96" s="6">
        <v>8</v>
      </c>
      <c r="K96" s="5" t="s">
        <v>22</v>
      </c>
      <c r="L96" s="18" t="s">
        <v>39</v>
      </c>
      <c r="M96" s="17">
        <v>90000</v>
      </c>
    </row>
    <row r="97" spans="4:13" ht="12.75">
      <c r="D97" s="15" t="s">
        <v>284</v>
      </c>
      <c r="E97" s="6">
        <v>1</v>
      </c>
      <c r="F97" s="5" t="s">
        <v>285</v>
      </c>
      <c r="G97" s="6">
        <v>6</v>
      </c>
      <c r="H97" s="6">
        <v>5</v>
      </c>
      <c r="I97" s="6">
        <v>2</v>
      </c>
      <c r="J97" s="6">
        <v>8</v>
      </c>
      <c r="K97" s="5" t="s">
        <v>286</v>
      </c>
      <c r="L97" s="18" t="s">
        <v>52</v>
      </c>
      <c r="M97" s="17">
        <v>160000</v>
      </c>
    </row>
    <row r="98" spans="4:13" ht="12.75">
      <c r="D98" s="15" t="s">
        <v>426</v>
      </c>
      <c r="E98" s="6">
        <v>16</v>
      </c>
      <c r="F98" s="18" t="s">
        <v>364</v>
      </c>
      <c r="G98" s="6">
        <v>7</v>
      </c>
      <c r="H98" s="6">
        <v>3</v>
      </c>
      <c r="I98" s="6">
        <v>3</v>
      </c>
      <c r="J98" s="6">
        <v>7</v>
      </c>
      <c r="K98" s="18" t="s">
        <v>365</v>
      </c>
      <c r="L98" s="18"/>
      <c r="M98" s="17">
        <v>50000</v>
      </c>
    </row>
    <row r="99" spans="4:13" ht="12.75">
      <c r="D99" s="15" t="s">
        <v>288</v>
      </c>
      <c r="E99" s="6">
        <v>16</v>
      </c>
      <c r="F99" s="5" t="s">
        <v>186</v>
      </c>
      <c r="G99" s="6">
        <v>5</v>
      </c>
      <c r="H99" s="6">
        <v>3</v>
      </c>
      <c r="I99" s="6">
        <v>2</v>
      </c>
      <c r="J99" s="6">
        <v>7</v>
      </c>
      <c r="K99" s="5" t="s">
        <v>388</v>
      </c>
      <c r="L99" s="18" t="s">
        <v>21</v>
      </c>
      <c r="M99" s="17">
        <v>30000</v>
      </c>
    </row>
    <row r="100" spans="4:13" ht="12.75">
      <c r="D100" s="15" t="s">
        <v>290</v>
      </c>
      <c r="E100" s="6">
        <v>16</v>
      </c>
      <c r="F100" s="5" t="s">
        <v>213</v>
      </c>
      <c r="G100" s="6">
        <v>4</v>
      </c>
      <c r="H100" s="6">
        <v>3</v>
      </c>
      <c r="I100" s="6">
        <v>2</v>
      </c>
      <c r="J100" s="6">
        <v>8</v>
      </c>
      <c r="K100" s="5" t="s">
        <v>388</v>
      </c>
      <c r="L100" s="18" t="s">
        <v>21</v>
      </c>
      <c r="M100" s="17">
        <v>40000</v>
      </c>
    </row>
    <row r="101" spans="4:13" ht="12.75">
      <c r="D101" s="15" t="s">
        <v>292</v>
      </c>
      <c r="E101" s="6">
        <v>4</v>
      </c>
      <c r="F101" s="5" t="s">
        <v>216</v>
      </c>
      <c r="G101" s="6">
        <v>7</v>
      </c>
      <c r="H101" s="6">
        <v>3</v>
      </c>
      <c r="I101" s="6">
        <v>3</v>
      </c>
      <c r="J101" s="6">
        <v>7</v>
      </c>
      <c r="K101" s="18" t="s">
        <v>20</v>
      </c>
      <c r="L101" s="18" t="s">
        <v>33</v>
      </c>
      <c r="M101" s="17">
        <v>70000</v>
      </c>
    </row>
    <row r="102" spans="4:13" ht="12.75">
      <c r="D102" s="15" t="s">
        <v>293</v>
      </c>
      <c r="E102" s="6">
        <v>2</v>
      </c>
      <c r="F102" s="5" t="s">
        <v>219</v>
      </c>
      <c r="G102" s="6">
        <v>6</v>
      </c>
      <c r="H102" s="6">
        <v>3</v>
      </c>
      <c r="I102" s="6">
        <v>3</v>
      </c>
      <c r="J102" s="6">
        <v>8</v>
      </c>
      <c r="K102" s="5" t="s">
        <v>390</v>
      </c>
      <c r="L102" s="18" t="s">
        <v>39</v>
      </c>
      <c r="M102" s="17">
        <v>90000</v>
      </c>
    </row>
    <row r="103" spans="4:13" ht="12.75">
      <c r="D103" s="15" t="s">
        <v>294</v>
      </c>
      <c r="E103" s="6">
        <v>2</v>
      </c>
      <c r="F103" s="5" t="s">
        <v>198</v>
      </c>
      <c r="G103" s="6">
        <v>3</v>
      </c>
      <c r="H103" s="6">
        <v>5</v>
      </c>
      <c r="I103" s="6">
        <v>1</v>
      </c>
      <c r="J103" s="6">
        <v>9</v>
      </c>
      <c r="K103" s="5" t="s">
        <v>391</v>
      </c>
      <c r="L103" s="18" t="s">
        <v>52</v>
      </c>
      <c r="M103" s="17">
        <v>110000</v>
      </c>
    </row>
    <row r="104" spans="4:13" ht="12.75">
      <c r="D104" s="15" t="s">
        <v>427</v>
      </c>
      <c r="E104" s="6">
        <v>16</v>
      </c>
      <c r="F104" s="18" t="s">
        <v>428</v>
      </c>
      <c r="G104" s="6">
        <v>4</v>
      </c>
      <c r="H104" s="6">
        <v>3</v>
      </c>
      <c r="I104" s="6">
        <v>2</v>
      </c>
      <c r="J104" s="6">
        <v>8</v>
      </c>
      <c r="K104" s="18" t="s">
        <v>400</v>
      </c>
      <c r="L104" s="18"/>
      <c r="M104" s="17">
        <v>40000</v>
      </c>
    </row>
    <row r="105" spans="4:13" ht="12.75">
      <c r="D105" s="15" t="s">
        <v>429</v>
      </c>
      <c r="E105" s="6">
        <v>16</v>
      </c>
      <c r="F105" s="18" t="s">
        <v>430</v>
      </c>
      <c r="G105" s="6">
        <v>5</v>
      </c>
      <c r="H105" s="6">
        <v>3</v>
      </c>
      <c r="I105" s="6">
        <v>2</v>
      </c>
      <c r="J105" s="6">
        <v>7</v>
      </c>
      <c r="K105" s="18" t="s">
        <v>400</v>
      </c>
      <c r="L105" s="18"/>
      <c r="M105" s="17">
        <v>30000</v>
      </c>
    </row>
    <row r="106" spans="4:13" ht="12.75">
      <c r="D106" s="15" t="s">
        <v>431</v>
      </c>
      <c r="E106" s="6">
        <v>16</v>
      </c>
      <c r="F106" s="18" t="s">
        <v>295</v>
      </c>
      <c r="G106" s="6">
        <v>6</v>
      </c>
      <c r="H106" s="6">
        <v>3</v>
      </c>
      <c r="I106" s="6">
        <v>3</v>
      </c>
      <c r="J106" s="6">
        <v>7</v>
      </c>
      <c r="K106" s="18"/>
      <c r="L106" s="18" t="s">
        <v>21</v>
      </c>
      <c r="M106" s="17">
        <v>40000</v>
      </c>
    </row>
    <row r="107" spans="4:13" ht="12.75">
      <c r="D107" s="15" t="s">
        <v>432</v>
      </c>
      <c r="E107" s="6">
        <v>6</v>
      </c>
      <c r="F107" s="18" t="s">
        <v>296</v>
      </c>
      <c r="G107" s="6">
        <v>6</v>
      </c>
      <c r="H107" s="6">
        <v>4</v>
      </c>
      <c r="I107" s="6">
        <v>4</v>
      </c>
      <c r="J107" s="6">
        <v>8</v>
      </c>
      <c r="K107" s="18" t="s">
        <v>433</v>
      </c>
      <c r="L107" s="18" t="s">
        <v>297</v>
      </c>
      <c r="M107" s="17">
        <v>110000</v>
      </c>
    </row>
    <row r="108" spans="4:13" ht="12.75">
      <c r="D108" s="15" t="s">
        <v>434</v>
      </c>
      <c r="E108" s="6">
        <v>16</v>
      </c>
      <c r="F108" s="18" t="s">
        <v>364</v>
      </c>
      <c r="G108" s="6">
        <v>6</v>
      </c>
      <c r="H108" s="6">
        <v>3</v>
      </c>
      <c r="I108" s="6">
        <v>3</v>
      </c>
      <c r="J108" s="6">
        <v>7</v>
      </c>
      <c r="K108" s="18" t="s">
        <v>365</v>
      </c>
      <c r="L108" s="18"/>
      <c r="M108" s="17">
        <v>40000</v>
      </c>
    </row>
    <row r="109" spans="4:13" ht="12.75">
      <c r="D109" s="15" t="s">
        <v>298</v>
      </c>
      <c r="E109" s="6">
        <v>16</v>
      </c>
      <c r="F109" s="5" t="s">
        <v>72</v>
      </c>
      <c r="G109" s="6">
        <v>7</v>
      </c>
      <c r="H109" s="6">
        <v>3</v>
      </c>
      <c r="I109" s="6">
        <v>4</v>
      </c>
      <c r="J109" s="6">
        <v>7</v>
      </c>
      <c r="K109" s="5"/>
      <c r="L109" s="5" t="s">
        <v>33</v>
      </c>
      <c r="M109" s="17">
        <v>70000</v>
      </c>
    </row>
    <row r="110" spans="4:13" ht="12.75">
      <c r="D110" s="15" t="s">
        <v>299</v>
      </c>
      <c r="E110" s="6">
        <v>4</v>
      </c>
      <c r="F110" s="5" t="s">
        <v>31</v>
      </c>
      <c r="G110" s="6">
        <v>9</v>
      </c>
      <c r="H110" s="6">
        <v>2</v>
      </c>
      <c r="I110" s="6">
        <v>4</v>
      </c>
      <c r="J110" s="6">
        <v>7</v>
      </c>
      <c r="K110" s="5" t="s">
        <v>300</v>
      </c>
      <c r="L110" s="5" t="s">
        <v>33</v>
      </c>
      <c r="M110" s="17">
        <v>90000</v>
      </c>
    </row>
    <row r="111" spans="4:13" ht="12.75">
      <c r="D111" s="15" t="s">
        <v>301</v>
      </c>
      <c r="E111" s="6">
        <v>2</v>
      </c>
      <c r="F111" s="5" t="s">
        <v>25</v>
      </c>
      <c r="G111" s="6">
        <v>7</v>
      </c>
      <c r="H111" s="6">
        <v>3</v>
      </c>
      <c r="I111" s="6">
        <v>4</v>
      </c>
      <c r="J111" s="6">
        <v>7</v>
      </c>
      <c r="K111" s="5" t="s">
        <v>76</v>
      </c>
      <c r="L111" s="5" t="s">
        <v>77</v>
      </c>
      <c r="M111" s="17">
        <v>90000</v>
      </c>
    </row>
    <row r="112" spans="4:13" ht="12.75">
      <c r="D112" s="15" t="s">
        <v>302</v>
      </c>
      <c r="E112" s="6">
        <v>2</v>
      </c>
      <c r="F112" s="18" t="s">
        <v>303</v>
      </c>
      <c r="G112" s="6">
        <v>8</v>
      </c>
      <c r="H112" s="6">
        <v>3</v>
      </c>
      <c r="I112" s="6">
        <v>4</v>
      </c>
      <c r="J112" s="6">
        <v>7</v>
      </c>
      <c r="K112" s="18" t="s">
        <v>304</v>
      </c>
      <c r="L112" s="18" t="s">
        <v>33</v>
      </c>
      <c r="M112" s="17">
        <v>120000</v>
      </c>
    </row>
    <row r="113" spans="4:13" ht="12.75">
      <c r="D113" s="15" t="s">
        <v>435</v>
      </c>
      <c r="E113" s="6">
        <v>1</v>
      </c>
      <c r="F113" s="18" t="s">
        <v>155</v>
      </c>
      <c r="G113" s="6">
        <v>2</v>
      </c>
      <c r="H113" s="6">
        <v>6</v>
      </c>
      <c r="I113" s="6">
        <v>1</v>
      </c>
      <c r="J113" s="6">
        <v>10</v>
      </c>
      <c r="K113" s="18" t="s">
        <v>383</v>
      </c>
      <c r="L113" s="18" t="s">
        <v>52</v>
      </c>
      <c r="M113" s="17">
        <v>120000</v>
      </c>
    </row>
    <row r="114" spans="4:13" ht="13.5" thickBot="1">
      <c r="D114" s="19" t="s">
        <v>436</v>
      </c>
      <c r="E114" s="32">
        <v>16</v>
      </c>
      <c r="F114" s="33" t="s">
        <v>364</v>
      </c>
      <c r="G114" s="32">
        <v>7</v>
      </c>
      <c r="H114" s="32">
        <v>3</v>
      </c>
      <c r="I114" s="32">
        <v>4</v>
      </c>
      <c r="J114" s="32">
        <v>7</v>
      </c>
      <c r="K114" s="33" t="s">
        <v>365</v>
      </c>
      <c r="L114" s="34"/>
      <c r="M114" s="35">
        <v>70000</v>
      </c>
    </row>
  </sheetData>
  <printOptions/>
  <pageMargins left="0.75" right="0.75" top="1" bottom="1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B11" sqref="B11"/>
    </sheetView>
  </sheetViews>
  <sheetFormatPr defaultColWidth="9.140625" defaultRowHeight="12.75"/>
  <cols>
    <col min="1" max="1" width="2.28125" style="82" customWidth="1"/>
    <col min="2" max="2" width="30.7109375" style="82" customWidth="1"/>
    <col min="3" max="4" width="11.421875" style="82" customWidth="1"/>
    <col min="5" max="5" width="5.28125" style="82" customWidth="1"/>
    <col min="6" max="6" width="78.421875" style="82" customWidth="1"/>
    <col min="7" max="16384" width="11.421875" style="82" customWidth="1"/>
  </cols>
  <sheetData>
    <row r="1" spans="2:6" ht="15" customHeight="1">
      <c r="B1" s="83" t="s">
        <v>451</v>
      </c>
      <c r="C1" s="84"/>
      <c r="F1" s="85"/>
    </row>
    <row r="2" ht="15" customHeight="1">
      <c r="B2" s="86" t="s">
        <v>452</v>
      </c>
    </row>
    <row r="3" ht="15" customHeight="1">
      <c r="B3" s="86" t="s">
        <v>453</v>
      </c>
    </row>
    <row r="4" ht="15" customHeight="1"/>
    <row r="5" ht="15" customHeight="1">
      <c r="B5" s="83" t="s">
        <v>454</v>
      </c>
    </row>
    <row r="6" ht="15" customHeight="1">
      <c r="B6" s="86" t="s">
        <v>455</v>
      </c>
    </row>
    <row r="7" ht="12.75">
      <c r="B7" s="86" t="s">
        <v>456</v>
      </c>
    </row>
    <row r="8" ht="12.75">
      <c r="B8" s="86" t="s">
        <v>457</v>
      </c>
    </row>
    <row r="9" ht="12.75">
      <c r="B9" s="86" t="s">
        <v>458</v>
      </c>
    </row>
    <row r="10" ht="12.75">
      <c r="B10" s="86" t="s">
        <v>459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54"/>
  <sheetViews>
    <sheetView tabSelected="1" zoomScale="97" zoomScaleNormal="97" workbookViewId="0" topLeftCell="A1">
      <selection activeCell="E3" sqref="E3:K3"/>
    </sheetView>
  </sheetViews>
  <sheetFormatPr defaultColWidth="9.140625" defaultRowHeight="12.75"/>
  <cols>
    <col min="1" max="1" width="0.9921875" style="41" customWidth="1"/>
    <col min="2" max="2" width="0.42578125" style="41" customWidth="1"/>
    <col min="3" max="3" width="3.7109375" style="36" customWidth="1"/>
    <col min="4" max="4" width="15.7109375" style="41" customWidth="1"/>
    <col min="5" max="5" width="12.140625" style="41" customWidth="1"/>
    <col min="6" max="6" width="4.00390625" style="42" customWidth="1"/>
    <col min="7" max="10" width="3.421875" style="36" customWidth="1"/>
    <col min="11" max="11" width="55.421875" style="41" customWidth="1"/>
    <col min="12" max="12" width="2.8515625" style="41" customWidth="1"/>
    <col min="13" max="13" width="5.28125" style="41" hidden="1" customWidth="1"/>
    <col min="14" max="14" width="5.28125" style="41" customWidth="1"/>
    <col min="15" max="20" width="3.421875" style="41" customWidth="1"/>
    <col min="21" max="21" width="8.7109375" style="36" customWidth="1"/>
    <col min="22" max="22" width="0.42578125" style="41" customWidth="1"/>
    <col min="23" max="23" width="10.7109375" style="41" customWidth="1"/>
    <col min="24" max="24" width="10.7109375" style="41" hidden="1" customWidth="1"/>
    <col min="25" max="30" width="3.00390625" style="41" hidden="1" customWidth="1"/>
    <col min="31" max="36" width="12.7109375" style="41" hidden="1" customWidth="1"/>
    <col min="37" max="42" width="6.28125" style="41" hidden="1" customWidth="1"/>
    <col min="43" max="43" width="11.421875" style="41" hidden="1" customWidth="1"/>
    <col min="44" max="45" width="9.140625" style="41" hidden="1" customWidth="1"/>
    <col min="46" max="46" width="4.421875" style="41" hidden="1" customWidth="1"/>
    <col min="47" max="50" width="3.421875" style="41" hidden="1" customWidth="1"/>
    <col min="51" max="51" width="10.8515625" style="41" hidden="1" customWidth="1"/>
    <col min="52" max="55" width="9.140625" style="41" hidden="1" customWidth="1"/>
    <col min="56" max="56" width="3.28125" style="41" hidden="1" customWidth="1"/>
    <col min="57" max="59" width="9.140625" style="41" hidden="1" customWidth="1"/>
    <col min="60" max="60" width="9.140625" style="41" customWidth="1"/>
    <col min="61" max="16384" width="11.421875" style="41" customWidth="1"/>
  </cols>
  <sheetData>
    <row r="1" ht="6.75" customHeight="1"/>
    <row r="2" spans="2:55" ht="2.25" customHeight="1">
      <c r="B2" s="43"/>
      <c r="C2" s="55"/>
      <c r="D2" s="43"/>
      <c r="E2" s="43"/>
      <c r="F2" s="56"/>
      <c r="G2" s="55"/>
      <c r="H2" s="55"/>
      <c r="I2" s="55"/>
      <c r="J2" s="55"/>
      <c r="K2" s="57"/>
      <c r="AR2" s="44" t="s">
        <v>315</v>
      </c>
      <c r="AS2" s="45" t="s">
        <v>316</v>
      </c>
      <c r="AT2" s="46" t="s">
        <v>7</v>
      </c>
      <c r="AU2" s="46" t="s">
        <v>9</v>
      </c>
      <c r="AV2" s="46" t="s">
        <v>10</v>
      </c>
      <c r="AW2" s="46" t="s">
        <v>11</v>
      </c>
      <c r="AX2" s="46" t="s">
        <v>12</v>
      </c>
      <c r="AY2" s="46" t="s">
        <v>317</v>
      </c>
      <c r="AZ2" s="41" t="s">
        <v>318</v>
      </c>
      <c r="BA2" s="47" t="s">
        <v>15</v>
      </c>
      <c r="BB2" s="41" t="s">
        <v>319</v>
      </c>
      <c r="BC2" s="41" t="s">
        <v>320</v>
      </c>
    </row>
    <row r="3" spans="2:59" ht="12.75">
      <c r="B3" s="43"/>
      <c r="C3" s="90" t="s">
        <v>447</v>
      </c>
      <c r="D3" s="90"/>
      <c r="E3" s="91"/>
      <c r="F3" s="91"/>
      <c r="G3" s="91"/>
      <c r="H3" s="91"/>
      <c r="I3" s="91"/>
      <c r="J3" s="91"/>
      <c r="K3" s="91"/>
      <c r="L3" s="48"/>
      <c r="M3" s="49"/>
      <c r="AR3" s="50" t="str">
        <f aca="true" t="shared" si="0" ref="AR3:AR23">INDEX(DBTeams,ROW()-2,1)</f>
        <v>Amazon</v>
      </c>
      <c r="AS3" s="51" t="e">
        <f aca="true" t="shared" si="1" ref="AS3:AS13">VLOOKUP(CONCATENATE($E$4,TEXT(ROW()-2,"0")),DBPlayers,3,0)</f>
        <v>#N/A</v>
      </c>
      <c r="AT3" s="51" t="e">
        <f aca="true" t="shared" si="2" ref="AT3:AT13">VLOOKUP(CONCATENATE($E$4,TEXT(ROW()-2,"0")),DBPlayers,2,0)</f>
        <v>#N/A</v>
      </c>
      <c r="AU3" s="51" t="e">
        <f aca="true" t="shared" si="3" ref="AU3:AU13">VLOOKUP(CONCATENATE($E$4,TEXT(ROW()-2,"0")),DBPlayers,4,0)</f>
        <v>#N/A</v>
      </c>
      <c r="AV3" s="51" t="e">
        <f aca="true" t="shared" si="4" ref="AV3:AV13">VLOOKUP(CONCATENATE($E$4,TEXT(ROW()-2,"0")),DBPlayers,5,0)</f>
        <v>#N/A</v>
      </c>
      <c r="AW3" s="51" t="e">
        <f aca="true" t="shared" si="5" ref="AW3:AW13">VLOOKUP(CONCATENATE($E$4,TEXT(ROW()-2,"0")),DBPlayers,6,0)</f>
        <v>#N/A</v>
      </c>
      <c r="AX3" s="51" t="e">
        <f aca="true" t="shared" si="6" ref="AX3:AX13">VLOOKUP(CONCATENATE($E$4,TEXT(ROW()-2,"0")),DBPlayers,7,0)</f>
        <v>#N/A</v>
      </c>
      <c r="AY3" s="51" t="e">
        <f aca="true" t="shared" si="7" ref="AY3:AY13">VLOOKUP(CONCATENATE($E$4,TEXT(ROW()-2,"0")),DBPlayers,8,0)</f>
        <v>#N/A</v>
      </c>
      <c r="AZ3" s="51" t="e">
        <f aca="true" t="shared" si="8" ref="AZ3:AZ13">VLOOKUP(CONCATENATE($E$4,TEXT(ROW()-2,"0")),DBPlayers,9,0)</f>
        <v>#N/A</v>
      </c>
      <c r="BA3" s="51" t="e">
        <f aca="true" t="shared" si="9" ref="BA3:BA13">VLOOKUP(CONCATENATE($E$4,TEXT(ROW()-2,"0")),DBPlayers,10,0)</f>
        <v>#N/A</v>
      </c>
      <c r="BB3" s="41">
        <f aca="true" t="shared" si="10" ref="BB3:BB13">IF(ISERROR(AS3),0,1)</f>
        <v>0</v>
      </c>
      <c r="BE3" s="41" t="e">
        <f>SUMIF(RES_H,$E$3,RES_WIN_H)+SUMIF(RES_A,$E$3,RES_WIN_A)</f>
        <v>#REF!</v>
      </c>
      <c r="BF3" s="41" t="e">
        <f>VLOOKUP($E$3,#REF!,11,FALSE)-BE3-BG3</f>
        <v>#REF!</v>
      </c>
      <c r="BG3" s="41" t="e">
        <f>SUMIF(RES_H,$E$3,RES_WIN_A)+SUMIF(RES_A,$E$3,RES_WIN_H)</f>
        <v>#REF!</v>
      </c>
    </row>
    <row r="4" spans="2:54" ht="12.75">
      <c r="B4" s="43"/>
      <c r="C4" s="90" t="s">
        <v>448</v>
      </c>
      <c r="D4" s="90"/>
      <c r="E4" s="74"/>
      <c r="F4" s="75"/>
      <c r="G4" s="92" t="s">
        <v>321</v>
      </c>
      <c r="H4" s="92"/>
      <c r="I4" s="92"/>
      <c r="J4" s="92"/>
      <c r="K4" s="73"/>
      <c r="L4" s="48"/>
      <c r="M4" s="49"/>
      <c r="AR4" s="50" t="str">
        <f t="shared" si="0"/>
        <v>Chaos</v>
      </c>
      <c r="AS4" s="51" t="e">
        <f t="shared" si="1"/>
        <v>#N/A</v>
      </c>
      <c r="AT4" s="51" t="e">
        <f t="shared" si="2"/>
        <v>#N/A</v>
      </c>
      <c r="AU4" s="51" t="e">
        <f t="shared" si="3"/>
        <v>#N/A</v>
      </c>
      <c r="AV4" s="51" t="e">
        <f t="shared" si="4"/>
        <v>#N/A</v>
      </c>
      <c r="AW4" s="51" t="e">
        <f t="shared" si="5"/>
        <v>#N/A</v>
      </c>
      <c r="AX4" s="51" t="e">
        <f t="shared" si="6"/>
        <v>#N/A</v>
      </c>
      <c r="AY4" s="51" t="e">
        <f t="shared" si="7"/>
        <v>#N/A</v>
      </c>
      <c r="AZ4" s="51" t="e">
        <f t="shared" si="8"/>
        <v>#N/A</v>
      </c>
      <c r="BA4" s="51" t="e">
        <f t="shared" si="9"/>
        <v>#N/A</v>
      </c>
      <c r="BB4" s="41">
        <f t="shared" si="10"/>
        <v>0</v>
      </c>
    </row>
    <row r="5" spans="2:54" ht="14.25" customHeight="1">
      <c r="B5" s="43"/>
      <c r="C5" s="90" t="s">
        <v>322</v>
      </c>
      <c r="D5" s="90"/>
      <c r="E5" s="91"/>
      <c r="F5" s="91"/>
      <c r="G5" s="91"/>
      <c r="H5" s="91"/>
      <c r="I5" s="91"/>
      <c r="J5" s="91"/>
      <c r="K5" s="91"/>
      <c r="L5" s="48"/>
      <c r="M5" s="49"/>
      <c r="Y5" s="89" t="s">
        <v>323</v>
      </c>
      <c r="Z5" s="89"/>
      <c r="AA5" s="89"/>
      <c r="AB5" s="89"/>
      <c r="AC5" s="89"/>
      <c r="AD5" s="89"/>
      <c r="AE5" s="89" t="s">
        <v>324</v>
      </c>
      <c r="AF5" s="89"/>
      <c r="AG5" s="89"/>
      <c r="AH5" s="89"/>
      <c r="AI5" s="89"/>
      <c r="AJ5" s="89"/>
      <c r="AK5" s="89" t="s">
        <v>325</v>
      </c>
      <c r="AL5" s="89"/>
      <c r="AM5" s="89"/>
      <c r="AN5" s="89"/>
      <c r="AO5" s="89"/>
      <c r="AP5" s="89"/>
      <c r="AR5" s="50" t="str">
        <f t="shared" si="0"/>
        <v>Chaos Dwarf</v>
      </c>
      <c r="AS5" s="51" t="e">
        <f t="shared" si="1"/>
        <v>#N/A</v>
      </c>
      <c r="AT5" s="51" t="e">
        <f t="shared" si="2"/>
        <v>#N/A</v>
      </c>
      <c r="AU5" s="51" t="e">
        <f t="shared" si="3"/>
        <v>#N/A</v>
      </c>
      <c r="AV5" s="51" t="e">
        <f t="shared" si="4"/>
        <v>#N/A</v>
      </c>
      <c r="AW5" s="51" t="e">
        <f t="shared" si="5"/>
        <v>#N/A</v>
      </c>
      <c r="AX5" s="51" t="e">
        <f t="shared" si="6"/>
        <v>#N/A</v>
      </c>
      <c r="AY5" s="51" t="e">
        <f t="shared" si="7"/>
        <v>#N/A</v>
      </c>
      <c r="AZ5" s="51" t="e">
        <f t="shared" si="8"/>
        <v>#N/A</v>
      </c>
      <c r="BA5" s="51" t="e">
        <f t="shared" si="9"/>
        <v>#N/A</v>
      </c>
      <c r="BB5" s="41">
        <f t="shared" si="10"/>
        <v>0</v>
      </c>
    </row>
    <row r="6" spans="2:54" ht="2.25" customHeight="1">
      <c r="B6" s="43"/>
      <c r="C6" s="55"/>
      <c r="D6" s="43"/>
      <c r="E6" s="43"/>
      <c r="F6" s="56"/>
      <c r="G6" s="55"/>
      <c r="H6" s="55"/>
      <c r="I6" s="55"/>
      <c r="J6" s="55"/>
      <c r="K6" s="43"/>
      <c r="L6" s="43"/>
      <c r="M6" s="43"/>
      <c r="N6" s="43"/>
      <c r="O6" s="43"/>
      <c r="P6" s="43"/>
      <c r="Q6" s="43"/>
      <c r="R6" s="43"/>
      <c r="S6" s="43"/>
      <c r="T6" s="43"/>
      <c r="U6" s="55"/>
      <c r="V6" s="43"/>
      <c r="AR6" s="50" t="str">
        <f t="shared" si="0"/>
        <v>Dark Elf</v>
      </c>
      <c r="AS6" s="51" t="e">
        <f t="shared" si="1"/>
        <v>#N/A</v>
      </c>
      <c r="AT6" s="51" t="e">
        <f t="shared" si="2"/>
        <v>#N/A</v>
      </c>
      <c r="AU6" s="51" t="e">
        <f t="shared" si="3"/>
        <v>#N/A</v>
      </c>
      <c r="AV6" s="51" t="e">
        <f t="shared" si="4"/>
        <v>#N/A</v>
      </c>
      <c r="AW6" s="51" t="e">
        <f t="shared" si="5"/>
        <v>#N/A</v>
      </c>
      <c r="AX6" s="51" t="e">
        <f t="shared" si="6"/>
        <v>#N/A</v>
      </c>
      <c r="AY6" s="51" t="e">
        <f t="shared" si="7"/>
        <v>#N/A</v>
      </c>
      <c r="AZ6" s="51" t="e">
        <f t="shared" si="8"/>
        <v>#N/A</v>
      </c>
      <c r="BA6" s="51" t="e">
        <f t="shared" si="9"/>
        <v>#N/A</v>
      </c>
      <c r="BB6" s="41">
        <f t="shared" si="10"/>
        <v>0</v>
      </c>
    </row>
    <row r="7" spans="2:55" s="52" customFormat="1" ht="11.25" customHeight="1">
      <c r="B7" s="60"/>
      <c r="C7" s="37" t="s">
        <v>305</v>
      </c>
      <c r="D7" s="61" t="s">
        <v>445</v>
      </c>
      <c r="E7" s="61" t="s">
        <v>446</v>
      </c>
      <c r="F7" s="37" t="s">
        <v>306</v>
      </c>
      <c r="G7" s="37" t="s">
        <v>9</v>
      </c>
      <c r="H7" s="37" t="s">
        <v>10</v>
      </c>
      <c r="I7" s="37" t="s">
        <v>11</v>
      </c>
      <c r="J7" s="37" t="s">
        <v>12</v>
      </c>
      <c r="K7" s="61" t="s">
        <v>307</v>
      </c>
      <c r="L7" s="37" t="s">
        <v>326</v>
      </c>
      <c r="M7" s="37" t="s">
        <v>14</v>
      </c>
      <c r="N7" s="37" t="s">
        <v>308</v>
      </c>
      <c r="O7" s="37" t="s">
        <v>309</v>
      </c>
      <c r="P7" s="37" t="s">
        <v>310</v>
      </c>
      <c r="Q7" s="37" t="s">
        <v>311</v>
      </c>
      <c r="R7" s="37" t="s">
        <v>312</v>
      </c>
      <c r="S7" s="37" t="s">
        <v>313</v>
      </c>
      <c r="T7" s="37" t="s">
        <v>314</v>
      </c>
      <c r="U7" s="37" t="s">
        <v>449</v>
      </c>
      <c r="V7" s="60"/>
      <c r="X7" s="42" t="s">
        <v>327</v>
      </c>
      <c r="Y7" s="42" t="s">
        <v>328</v>
      </c>
      <c r="Z7" s="42" t="s">
        <v>329</v>
      </c>
      <c r="AA7" s="42" t="s">
        <v>330</v>
      </c>
      <c r="AB7" s="42" t="s">
        <v>331</v>
      </c>
      <c r="AC7" s="42" t="s">
        <v>332</v>
      </c>
      <c r="AD7" s="42" t="s">
        <v>333</v>
      </c>
      <c r="AE7" s="36" t="s">
        <v>334</v>
      </c>
      <c r="AF7" s="42" t="s">
        <v>335</v>
      </c>
      <c r="AG7" s="42" t="s">
        <v>336</v>
      </c>
      <c r="AH7" s="42" t="s">
        <v>337</v>
      </c>
      <c r="AI7" s="42" t="s">
        <v>338</v>
      </c>
      <c r="AJ7" s="42" t="s">
        <v>339</v>
      </c>
      <c r="AK7" s="36" t="s">
        <v>340</v>
      </c>
      <c r="AL7" s="42" t="s">
        <v>341</v>
      </c>
      <c r="AM7" s="42" t="s">
        <v>342</v>
      </c>
      <c r="AN7" s="42" t="s">
        <v>343</v>
      </c>
      <c r="AO7" s="42" t="s">
        <v>344</v>
      </c>
      <c r="AP7" s="42" t="s">
        <v>345</v>
      </c>
      <c r="AR7" s="50" t="str">
        <f t="shared" si="0"/>
        <v>Dwarf</v>
      </c>
      <c r="AS7" s="51" t="e">
        <f t="shared" si="1"/>
        <v>#N/A</v>
      </c>
      <c r="AT7" s="51" t="e">
        <f t="shared" si="2"/>
        <v>#N/A</v>
      </c>
      <c r="AU7" s="51" t="e">
        <f t="shared" si="3"/>
        <v>#N/A</v>
      </c>
      <c r="AV7" s="51" t="e">
        <f t="shared" si="4"/>
        <v>#N/A</v>
      </c>
      <c r="AW7" s="51" t="e">
        <f t="shared" si="5"/>
        <v>#N/A</v>
      </c>
      <c r="AX7" s="51" t="e">
        <f t="shared" si="6"/>
        <v>#N/A</v>
      </c>
      <c r="AY7" s="51" t="e">
        <f t="shared" si="7"/>
        <v>#N/A</v>
      </c>
      <c r="AZ7" s="51" t="e">
        <f t="shared" si="8"/>
        <v>#N/A</v>
      </c>
      <c r="BA7" s="51" t="e">
        <f t="shared" si="9"/>
        <v>#N/A</v>
      </c>
      <c r="BB7" s="41">
        <f t="shared" si="10"/>
        <v>0</v>
      </c>
      <c r="BC7" s="51"/>
    </row>
    <row r="8" spans="2:56" ht="15.75" customHeight="1">
      <c r="B8" s="43"/>
      <c r="C8" s="40">
        <v>1</v>
      </c>
      <c r="D8" s="76"/>
      <c r="E8" s="76"/>
      <c r="F8" s="38">
        <f>IF(E8&lt;&gt;"",IF(OR(COUNTIF($E$7:$E8,$E8)&gt;VLOOKUP($E8,$AS$3:$BA$13,2,0),$BD8&gt;VLOOKUP($E8,$AS$3:$BA$13,2,0)),"error",TEXT(COUNTIF($E$7:$E8,$E8),0)&amp;"/"&amp;VLOOKUP($E8,$AS$3:$BA$13,2,0)),"")</f>
      </c>
      <c r="G8" s="78">
        <f aca="true" t="shared" si="11" ref="G8:G23">IF(E8&lt;&gt;"",VLOOKUP($E8,$AS$3:$BA$13,3,0),"")</f>
      </c>
      <c r="H8" s="78">
        <f aca="true" t="shared" si="12" ref="H8:H23">IF(E8&lt;&gt;"",VLOOKUP($E8,$AS$3:$BA$13,4,0),"")</f>
      </c>
      <c r="I8" s="78">
        <f aca="true" t="shared" si="13" ref="I8:I23">IF(E8&lt;&gt;"",VLOOKUP($E8,$AS$3:$BA$13,5,0),"")</f>
      </c>
      <c r="J8" s="78">
        <f aca="true" t="shared" si="14" ref="J8:J23">IF(E8&lt;&gt;"",VLOOKUP($E8,$AS$3:$BA$13,6,0),"")</f>
      </c>
      <c r="K8" s="39">
        <f aca="true" t="shared" si="15" ref="K8:K23">IF(E8&lt;&gt;"",IF(VLOOKUP($E8,$AS$3:$BA$13,7,0)&lt;&gt;0,VLOOKUP($E8,$AS$3:$BA$13,7,0)&amp;IF(L8&lt;&gt;0,", ",""),"")&amp;IF(L8&lt;&gt;"",L8,""),"")</f>
      </c>
      <c r="L8" s="79"/>
      <c r="M8" s="80">
        <f aca="true" t="shared" si="16" ref="M8:M23">IF(E8&lt;&gt;"",VLOOKUP($E8,$AS$3:$BA$13,8,0),"")</f>
      </c>
      <c r="N8" s="78"/>
      <c r="O8" s="78"/>
      <c r="P8" s="78"/>
      <c r="Q8" s="78"/>
      <c r="R8" s="78"/>
      <c r="S8" s="78"/>
      <c r="T8" s="40">
        <f aca="true" t="shared" si="17" ref="T8:T23">IF(E8&lt;&gt;"",O8*SPP_CP+P8*SPP_TD+Q8*SPP_IN+R8*SPP_CS+S8*SPP_VP,"")</f>
      </c>
      <c r="U8" s="71">
        <f aca="true" t="shared" si="18" ref="U8:U23">IF(E8&lt;&gt;"",VLOOKUP($E8,$AS$3:$BA$13,9,0)+SUM($AK8:$AP8),"")</f>
      </c>
      <c r="V8" s="43"/>
      <c r="X8" s="41">
        <f aca="true" t="shared" si="19" ref="X8:X23">IF(ISERROR(FIND("MNG",$N8)),$U8,0)</f>
      </c>
      <c r="Y8" s="41">
        <f aca="true" t="shared" si="20" ref="Y8:Y23">IF(ISERROR(FIND(",",$L8,1)),LEN($L8)+1,FIND(",",$L8,1))</f>
        <v>1</v>
      </c>
      <c r="Z8" s="41">
        <f aca="true" t="shared" si="21" ref="Z8:Z23">IF(ISERROR(FIND(",",$L8,$Y8+1)),LEN($L8)+1,FIND(",",$L8,$Y8+1))</f>
        <v>1</v>
      </c>
      <c r="AA8" s="41">
        <f aca="true" t="shared" si="22" ref="AA8:AA23">IF(ISERROR(FIND(",",$L8,$Z8+1)),LEN($L8)+1,FIND(",",$L8,$Z8+1))</f>
        <v>1</v>
      </c>
      <c r="AB8" s="41">
        <f aca="true" t="shared" si="23" ref="AB8:AB23">IF(ISERROR(FIND(",",$L8,$AA8+1)),LEN($L8)+1,FIND(",",$L8,$AA8+1))</f>
        <v>1</v>
      </c>
      <c r="AC8" s="41">
        <f aca="true" t="shared" si="24" ref="AC8:AC23">IF(ISERROR(FIND(",",$L8,$AB8+1)),LEN($L8)+1,FIND(",",$L8,$AB8+1))</f>
        <v>1</v>
      </c>
      <c r="AD8" s="41">
        <f aca="true" t="shared" si="25" ref="AD8:AD23">IF(ISERROR(FIND(",",$L8,$AC8+1)),LEN($L8)+1,FIND(",",$L8,$AC8+1))</f>
        <v>1</v>
      </c>
      <c r="AE8" s="41">
        <f aca="true" t="shared" si="26" ref="AE8:AE23">TRIM(IF($Y8&gt;1,MID($L8,1,$Y8-1),""))</f>
      </c>
      <c r="AF8" s="41">
        <f aca="true" t="shared" si="27" ref="AF8:AF23">TRIM(IF($Z8&gt;$Y8,MID($L8,$Y8+1,$Z8-$Y8-1),""))</f>
      </c>
      <c r="AG8" s="41">
        <f aca="true" t="shared" si="28" ref="AG8:AG23">TRIM(IF($AA8&gt;$Z8,MID($L8,$Z8+1,$AA8-$Z8-1),""))</f>
      </c>
      <c r="AH8" s="41">
        <f aca="true" t="shared" si="29" ref="AH8:AH23">TRIM(IF($AB8&gt;$AA8,MID($L8,$AA8+1,$AB8-$AA8-1),""))</f>
      </c>
      <c r="AI8" s="41">
        <f aca="true" t="shared" si="30" ref="AI8:AI23">TRIM(IF($AC8&gt;$AB8,MID($L8,$AB8+1,$AC8-$AB8-1),""))</f>
      </c>
      <c r="AJ8" s="41">
        <f aca="true" t="shared" si="31" ref="AJ8:AJ23">TRIM(IF($AD8&gt;$AC8,MID($L8,$AC8+1,$AD8-$AC8-1),""))</f>
      </c>
      <c r="AK8" s="41">
        <f aca="true" t="shared" si="32" ref="AK8:AK23">IF(AE8="",0,IF(ISNUMBER(VLOOKUP(AE8,SkillCosts,2,FALSE)),VLOOKUP(AE8,SkillCosts,2,FALSE),IF(ISERROR(FIND(VLOOKUP(AE8,DBSkills,2,FALSE),$M8)),VLOOKUP("OutSkill",SkillCosts,2,FALSE),VLOOKUP("InSkill",SkillCosts,2,FALSE))))</f>
        <v>0</v>
      </c>
      <c r="AL8" s="41">
        <f aca="true" t="shared" si="33" ref="AL8:AL23">IF(AF8="",0,IF(ISNUMBER(VLOOKUP(AF8,SkillCosts,2,FALSE)),VLOOKUP(AF8,SkillCosts,2,FALSE),IF(ISERROR(FIND(VLOOKUP(AF8,DBSkills,2,FALSE),$M8)),VLOOKUP("OutSkill",SkillCosts,2,FALSE),VLOOKUP("InSkill",SkillCosts,2,FALSE))))</f>
        <v>0</v>
      </c>
      <c r="AM8" s="41">
        <f aca="true" t="shared" si="34" ref="AM8:AM23">IF(AG8="",0,IF(ISNUMBER(VLOOKUP(AG8,SkillCosts,2,FALSE)),VLOOKUP(AG8,SkillCosts,2,FALSE),IF(ISERROR(FIND(VLOOKUP(AG8,DBSkills,2,FALSE),$M8)),VLOOKUP("OutSkill",SkillCosts,2,FALSE),VLOOKUP("InSkill",SkillCosts,2,FALSE))))</f>
        <v>0</v>
      </c>
      <c r="AN8" s="41">
        <f aca="true" t="shared" si="35" ref="AN8:AN23">IF(AH8="",0,IF(ISNUMBER(VLOOKUP(AH8,SkillCosts,2,FALSE)),VLOOKUP(AH8,SkillCosts,2,FALSE),IF(ISERROR(FIND(VLOOKUP(AH8,DBSkills,2,FALSE),$M8)),VLOOKUP("OutSkill",SkillCosts,2,FALSE),VLOOKUP("InSkill",SkillCosts,2,FALSE))))</f>
        <v>0</v>
      </c>
      <c r="AO8" s="41">
        <f aca="true" t="shared" si="36" ref="AO8:AO23">IF(AI8="",0,IF(ISNUMBER(VLOOKUP(AI8,SkillCosts,2,FALSE)),VLOOKUP(AI8,SkillCosts,2,FALSE),IF(ISERROR(FIND(VLOOKUP(AI8,DBSkills,2,FALSE),$M8)),VLOOKUP("OutSkill",SkillCosts,2,FALSE),VLOOKUP("InSkill",SkillCosts,2,FALSE))))</f>
        <v>0</v>
      </c>
      <c r="AP8" s="41">
        <f aca="true" t="shared" si="37" ref="AP8:AP23">IF(AJ8="",0,IF(ISNUMBER(VLOOKUP(AJ8,SkillCosts,2,FALSE)),VLOOKUP(AJ8,SkillCosts,2,FALSE),IF(ISERROR(FIND(VLOOKUP(AJ8,DBSkills,2,FALSE),$M8)),VLOOKUP("OutSkill",SkillCosts,2,FALSE),VLOOKUP("InSkill",SkillCosts,2,FALSE))))</f>
        <v>0</v>
      </c>
      <c r="AR8" s="50" t="str">
        <f t="shared" si="0"/>
        <v>Elf</v>
      </c>
      <c r="AS8" s="51" t="e">
        <f t="shared" si="1"/>
        <v>#N/A</v>
      </c>
      <c r="AT8" s="51" t="e">
        <f t="shared" si="2"/>
        <v>#N/A</v>
      </c>
      <c r="AU8" s="51" t="e">
        <f t="shared" si="3"/>
        <v>#N/A</v>
      </c>
      <c r="AV8" s="51" t="e">
        <f t="shared" si="4"/>
        <v>#N/A</v>
      </c>
      <c r="AW8" s="51" t="e">
        <f t="shared" si="5"/>
        <v>#N/A</v>
      </c>
      <c r="AX8" s="51" t="e">
        <f t="shared" si="6"/>
        <v>#N/A</v>
      </c>
      <c r="AY8" s="51" t="e">
        <f t="shared" si="7"/>
        <v>#N/A</v>
      </c>
      <c r="AZ8" s="51" t="e">
        <f t="shared" si="8"/>
        <v>#N/A</v>
      </c>
      <c r="BA8" s="51" t="e">
        <f t="shared" si="9"/>
        <v>#N/A</v>
      </c>
      <c r="BB8" s="41">
        <f t="shared" si="10"/>
        <v>0</v>
      </c>
      <c r="BC8" s="51">
        <f aca="true" t="shared" si="38" ref="BC8:BC23">IF(ISERROR(SEARCH("Big Guy",$K8,1)),0,1)</f>
        <v>0</v>
      </c>
      <c r="BD8" s="41">
        <f>BC8</f>
        <v>0</v>
      </c>
    </row>
    <row r="9" spans="2:56" ht="15.75" customHeight="1">
      <c r="B9" s="43"/>
      <c r="C9" s="40">
        <v>2</v>
      </c>
      <c r="D9" s="76"/>
      <c r="E9" s="76"/>
      <c r="F9" s="38">
        <f>IF(E9&lt;&gt;"",IF(OR(COUNTIF($E$7:$E9,$E9)&gt;VLOOKUP($E9,$AS$3:$BA$13,2,0),$BD9&gt;VLOOKUP($E9,$AS$3:$BA$13,2,0)),"error",TEXT(COUNTIF($E$7:$E9,$E9),0)&amp;"/"&amp;VLOOKUP($E9,$AS$3:$BA$13,2,0)),"")</f>
      </c>
      <c r="G9" s="78">
        <f t="shared" si="11"/>
      </c>
      <c r="H9" s="78">
        <f t="shared" si="12"/>
      </c>
      <c r="I9" s="78">
        <f t="shared" si="13"/>
      </c>
      <c r="J9" s="78">
        <f t="shared" si="14"/>
      </c>
      <c r="K9" s="39">
        <f t="shared" si="15"/>
      </c>
      <c r="L9" s="79"/>
      <c r="M9" s="80">
        <f t="shared" si="16"/>
      </c>
      <c r="N9" s="78"/>
      <c r="O9" s="78"/>
      <c r="P9" s="78"/>
      <c r="Q9" s="78"/>
      <c r="R9" s="78"/>
      <c r="S9" s="78"/>
      <c r="T9" s="40">
        <f t="shared" si="17"/>
      </c>
      <c r="U9" s="71">
        <f t="shared" si="18"/>
      </c>
      <c r="V9" s="43"/>
      <c r="X9" s="41">
        <f t="shared" si="19"/>
      </c>
      <c r="Y9" s="41">
        <f t="shared" si="20"/>
        <v>1</v>
      </c>
      <c r="Z9" s="41">
        <f t="shared" si="21"/>
        <v>1</v>
      </c>
      <c r="AA9" s="41">
        <f t="shared" si="22"/>
        <v>1</v>
      </c>
      <c r="AB9" s="41">
        <f t="shared" si="23"/>
        <v>1</v>
      </c>
      <c r="AC9" s="41">
        <f t="shared" si="24"/>
        <v>1</v>
      </c>
      <c r="AD9" s="41">
        <f t="shared" si="25"/>
        <v>1</v>
      </c>
      <c r="AE9" s="41">
        <f t="shared" si="26"/>
      </c>
      <c r="AF9" s="41">
        <f t="shared" si="27"/>
      </c>
      <c r="AG9" s="41">
        <f t="shared" si="28"/>
      </c>
      <c r="AH9" s="41">
        <f t="shared" si="29"/>
      </c>
      <c r="AI9" s="41">
        <f t="shared" si="30"/>
      </c>
      <c r="AJ9" s="41">
        <f t="shared" si="31"/>
      </c>
      <c r="AK9" s="41">
        <f t="shared" si="32"/>
        <v>0</v>
      </c>
      <c r="AL9" s="41">
        <f t="shared" si="33"/>
        <v>0</v>
      </c>
      <c r="AM9" s="41">
        <f t="shared" si="34"/>
        <v>0</v>
      </c>
      <c r="AN9" s="41">
        <f t="shared" si="35"/>
        <v>0</v>
      </c>
      <c r="AO9" s="41">
        <f t="shared" si="36"/>
        <v>0</v>
      </c>
      <c r="AP9" s="41">
        <f t="shared" si="37"/>
        <v>0</v>
      </c>
      <c r="AR9" s="50" t="str">
        <f t="shared" si="0"/>
        <v>Goblin</v>
      </c>
      <c r="AS9" s="51" t="e">
        <f t="shared" si="1"/>
        <v>#N/A</v>
      </c>
      <c r="AT9" s="51" t="e">
        <f t="shared" si="2"/>
        <v>#N/A</v>
      </c>
      <c r="AU9" s="51" t="e">
        <f t="shared" si="3"/>
        <v>#N/A</v>
      </c>
      <c r="AV9" s="51" t="e">
        <f t="shared" si="4"/>
        <v>#N/A</v>
      </c>
      <c r="AW9" s="51" t="e">
        <f t="shared" si="5"/>
        <v>#N/A</v>
      </c>
      <c r="AX9" s="51" t="e">
        <f t="shared" si="6"/>
        <v>#N/A</v>
      </c>
      <c r="AY9" s="51" t="e">
        <f t="shared" si="7"/>
        <v>#N/A</v>
      </c>
      <c r="AZ9" s="51" t="e">
        <f t="shared" si="8"/>
        <v>#N/A</v>
      </c>
      <c r="BA9" s="51" t="e">
        <f t="shared" si="9"/>
        <v>#N/A</v>
      </c>
      <c r="BB9" s="41">
        <f t="shared" si="10"/>
        <v>0</v>
      </c>
      <c r="BC9" s="51">
        <f t="shared" si="38"/>
        <v>0</v>
      </c>
      <c r="BD9" s="41">
        <f>SUM($BC$8:$BC9)</f>
        <v>0</v>
      </c>
    </row>
    <row r="10" spans="2:56" ht="15.75" customHeight="1">
      <c r="B10" s="43"/>
      <c r="C10" s="40">
        <v>3</v>
      </c>
      <c r="D10" s="76"/>
      <c r="E10" s="76"/>
      <c r="F10" s="38">
        <f>IF(E10&lt;&gt;"",IF(OR(COUNTIF($E$7:$E10,$E10)&gt;VLOOKUP($E10,$AS$3:$BA$13,2,0),$BD10&gt;VLOOKUP($E10,$AS$3:$BA$13,2,0)),"error",TEXT(COUNTIF($E$7:$E10,$E10),0)&amp;"/"&amp;VLOOKUP($E10,$AS$3:$BA$13,2,0)),"")</f>
      </c>
      <c r="G10" s="78">
        <f t="shared" si="11"/>
      </c>
      <c r="H10" s="78">
        <f t="shared" si="12"/>
      </c>
      <c r="I10" s="78">
        <f t="shared" si="13"/>
      </c>
      <c r="J10" s="78">
        <f t="shared" si="14"/>
      </c>
      <c r="K10" s="39">
        <f t="shared" si="15"/>
      </c>
      <c r="L10" s="79"/>
      <c r="M10" s="80">
        <f t="shared" si="16"/>
      </c>
      <c r="N10" s="78"/>
      <c r="O10" s="78"/>
      <c r="P10" s="78"/>
      <c r="Q10" s="78"/>
      <c r="R10" s="78"/>
      <c r="S10" s="78"/>
      <c r="T10" s="40">
        <f t="shared" si="17"/>
      </c>
      <c r="U10" s="71">
        <f t="shared" si="18"/>
      </c>
      <c r="V10" s="43"/>
      <c r="X10" s="41">
        <f t="shared" si="19"/>
      </c>
      <c r="Y10" s="41">
        <f t="shared" si="20"/>
        <v>1</v>
      </c>
      <c r="Z10" s="41">
        <f t="shared" si="21"/>
        <v>1</v>
      </c>
      <c r="AA10" s="41">
        <f t="shared" si="22"/>
        <v>1</v>
      </c>
      <c r="AB10" s="41">
        <f t="shared" si="23"/>
        <v>1</v>
      </c>
      <c r="AC10" s="41">
        <f t="shared" si="24"/>
        <v>1</v>
      </c>
      <c r="AD10" s="41">
        <f t="shared" si="25"/>
        <v>1</v>
      </c>
      <c r="AE10" s="41">
        <f t="shared" si="26"/>
      </c>
      <c r="AF10" s="41">
        <f t="shared" si="27"/>
      </c>
      <c r="AG10" s="41">
        <f t="shared" si="28"/>
      </c>
      <c r="AH10" s="41">
        <f t="shared" si="29"/>
      </c>
      <c r="AI10" s="41">
        <f t="shared" si="30"/>
      </c>
      <c r="AJ10" s="41">
        <f t="shared" si="31"/>
      </c>
      <c r="AK10" s="41">
        <f t="shared" si="32"/>
        <v>0</v>
      </c>
      <c r="AL10" s="41">
        <f t="shared" si="33"/>
        <v>0</v>
      </c>
      <c r="AM10" s="41">
        <f t="shared" si="34"/>
        <v>0</v>
      </c>
      <c r="AN10" s="41">
        <f t="shared" si="35"/>
        <v>0</v>
      </c>
      <c r="AO10" s="41">
        <f t="shared" si="36"/>
        <v>0</v>
      </c>
      <c r="AP10" s="41">
        <f t="shared" si="37"/>
        <v>0</v>
      </c>
      <c r="AR10" s="50" t="str">
        <f t="shared" si="0"/>
        <v>Halfling</v>
      </c>
      <c r="AS10" s="51" t="e">
        <f t="shared" si="1"/>
        <v>#N/A</v>
      </c>
      <c r="AT10" s="51" t="e">
        <f t="shared" si="2"/>
        <v>#N/A</v>
      </c>
      <c r="AU10" s="51" t="e">
        <f t="shared" si="3"/>
        <v>#N/A</v>
      </c>
      <c r="AV10" s="51" t="e">
        <f t="shared" si="4"/>
        <v>#N/A</v>
      </c>
      <c r="AW10" s="51" t="e">
        <f t="shared" si="5"/>
        <v>#N/A</v>
      </c>
      <c r="AX10" s="51" t="e">
        <f t="shared" si="6"/>
        <v>#N/A</v>
      </c>
      <c r="AY10" s="51" t="e">
        <f t="shared" si="7"/>
        <v>#N/A</v>
      </c>
      <c r="AZ10" s="51" t="e">
        <f t="shared" si="8"/>
        <v>#N/A</v>
      </c>
      <c r="BA10" s="51" t="e">
        <f t="shared" si="9"/>
        <v>#N/A</v>
      </c>
      <c r="BB10" s="41">
        <f t="shared" si="10"/>
        <v>0</v>
      </c>
      <c r="BC10" s="51">
        <f t="shared" si="38"/>
        <v>0</v>
      </c>
      <c r="BD10" s="41">
        <f>SUM($BC$8:$BC10)</f>
        <v>0</v>
      </c>
    </row>
    <row r="11" spans="2:56" ht="15.75" customHeight="1">
      <c r="B11" s="43"/>
      <c r="C11" s="40">
        <v>4</v>
      </c>
      <c r="D11" s="76"/>
      <c r="E11" s="76"/>
      <c r="F11" s="38">
        <f>IF(E11&lt;&gt;"",IF(OR(COUNTIF($E$7:$E11,$E11)&gt;VLOOKUP($E11,$AS$3:$BA$13,2,0),$BD11&gt;VLOOKUP($E11,$AS$3:$BA$13,2,0)),"error",TEXT(COUNTIF($E$7:$E11,$E11),0)&amp;"/"&amp;VLOOKUP($E11,$AS$3:$BA$13,2,0)),"")</f>
      </c>
      <c r="G11" s="78">
        <f t="shared" si="11"/>
      </c>
      <c r="H11" s="78">
        <f t="shared" si="12"/>
      </c>
      <c r="I11" s="78">
        <f t="shared" si="13"/>
      </c>
      <c r="J11" s="78">
        <f t="shared" si="14"/>
      </c>
      <c r="K11" s="39">
        <f t="shared" si="15"/>
      </c>
      <c r="L11" s="79"/>
      <c r="M11" s="80">
        <f t="shared" si="16"/>
      </c>
      <c r="N11" s="78"/>
      <c r="O11" s="78"/>
      <c r="P11" s="78"/>
      <c r="Q11" s="78"/>
      <c r="R11" s="78"/>
      <c r="S11" s="78"/>
      <c r="T11" s="40">
        <f t="shared" si="17"/>
      </c>
      <c r="U11" s="71">
        <f t="shared" si="18"/>
      </c>
      <c r="V11" s="43"/>
      <c r="X11" s="41">
        <f t="shared" si="19"/>
      </c>
      <c r="Y11" s="41">
        <f t="shared" si="20"/>
        <v>1</v>
      </c>
      <c r="Z11" s="41">
        <f t="shared" si="21"/>
        <v>1</v>
      </c>
      <c r="AA11" s="41">
        <f t="shared" si="22"/>
        <v>1</v>
      </c>
      <c r="AB11" s="41">
        <f t="shared" si="23"/>
        <v>1</v>
      </c>
      <c r="AC11" s="41">
        <f t="shared" si="24"/>
        <v>1</v>
      </c>
      <c r="AD11" s="41">
        <f t="shared" si="25"/>
        <v>1</v>
      </c>
      <c r="AE11" s="41">
        <f t="shared" si="26"/>
      </c>
      <c r="AF11" s="41">
        <f t="shared" si="27"/>
      </c>
      <c r="AG11" s="41">
        <f t="shared" si="28"/>
      </c>
      <c r="AH11" s="41">
        <f t="shared" si="29"/>
      </c>
      <c r="AI11" s="41">
        <f t="shared" si="30"/>
      </c>
      <c r="AJ11" s="41">
        <f t="shared" si="31"/>
      </c>
      <c r="AK11" s="41">
        <f t="shared" si="32"/>
        <v>0</v>
      </c>
      <c r="AL11" s="41">
        <f t="shared" si="33"/>
        <v>0</v>
      </c>
      <c r="AM11" s="41">
        <f t="shared" si="34"/>
        <v>0</v>
      </c>
      <c r="AN11" s="41">
        <f t="shared" si="35"/>
        <v>0</v>
      </c>
      <c r="AO11" s="41">
        <f t="shared" si="36"/>
        <v>0</v>
      </c>
      <c r="AP11" s="41">
        <f t="shared" si="37"/>
        <v>0</v>
      </c>
      <c r="AR11" s="50" t="str">
        <f t="shared" si="0"/>
        <v>High Elf</v>
      </c>
      <c r="AS11" s="51" t="e">
        <f t="shared" si="1"/>
        <v>#N/A</v>
      </c>
      <c r="AT11" s="51" t="e">
        <f t="shared" si="2"/>
        <v>#N/A</v>
      </c>
      <c r="AU11" s="51" t="e">
        <f t="shared" si="3"/>
        <v>#N/A</v>
      </c>
      <c r="AV11" s="51" t="e">
        <f t="shared" si="4"/>
        <v>#N/A</v>
      </c>
      <c r="AW11" s="51" t="e">
        <f t="shared" si="5"/>
        <v>#N/A</v>
      </c>
      <c r="AX11" s="51" t="e">
        <f t="shared" si="6"/>
        <v>#N/A</v>
      </c>
      <c r="AY11" s="51" t="e">
        <f t="shared" si="7"/>
        <v>#N/A</v>
      </c>
      <c r="AZ11" s="51" t="e">
        <f t="shared" si="8"/>
        <v>#N/A</v>
      </c>
      <c r="BA11" s="51" t="e">
        <f t="shared" si="9"/>
        <v>#N/A</v>
      </c>
      <c r="BB11" s="41">
        <f t="shared" si="10"/>
        <v>0</v>
      </c>
      <c r="BC11" s="51">
        <f t="shared" si="38"/>
        <v>0</v>
      </c>
      <c r="BD11" s="41">
        <f>SUM($BC$8:$BC11)</f>
        <v>0</v>
      </c>
    </row>
    <row r="12" spans="2:56" ht="15.75" customHeight="1">
      <c r="B12" s="43"/>
      <c r="C12" s="40">
        <v>5</v>
      </c>
      <c r="D12" s="76"/>
      <c r="E12" s="76"/>
      <c r="F12" s="38">
        <f>IF(E12&lt;&gt;"",IF(OR(COUNTIF($E$7:$E12,$E12)&gt;VLOOKUP($E12,$AS$3:$BA$13,2,0),$BD12&gt;VLOOKUP($E12,$AS$3:$BA$13,2,0)),"error",TEXT(COUNTIF($E$7:$E12,$E12),0)&amp;"/"&amp;VLOOKUP($E12,$AS$3:$BA$13,2,0)),"")</f>
      </c>
      <c r="G12" s="78">
        <f t="shared" si="11"/>
      </c>
      <c r="H12" s="78">
        <f t="shared" si="12"/>
      </c>
      <c r="I12" s="78">
        <f t="shared" si="13"/>
      </c>
      <c r="J12" s="78">
        <f t="shared" si="14"/>
      </c>
      <c r="K12" s="39">
        <f t="shared" si="15"/>
      </c>
      <c r="L12" s="79"/>
      <c r="M12" s="80">
        <f t="shared" si="16"/>
      </c>
      <c r="N12" s="78"/>
      <c r="O12" s="78"/>
      <c r="P12" s="78"/>
      <c r="Q12" s="78"/>
      <c r="R12" s="78"/>
      <c r="S12" s="78"/>
      <c r="T12" s="40">
        <f t="shared" si="17"/>
      </c>
      <c r="U12" s="71">
        <f t="shared" si="18"/>
      </c>
      <c r="V12" s="43"/>
      <c r="X12" s="41">
        <f t="shared" si="19"/>
      </c>
      <c r="Y12" s="41">
        <f t="shared" si="20"/>
        <v>1</v>
      </c>
      <c r="Z12" s="41">
        <f t="shared" si="21"/>
        <v>1</v>
      </c>
      <c r="AA12" s="41">
        <f t="shared" si="22"/>
        <v>1</v>
      </c>
      <c r="AB12" s="41">
        <f t="shared" si="23"/>
        <v>1</v>
      </c>
      <c r="AC12" s="41">
        <f t="shared" si="24"/>
        <v>1</v>
      </c>
      <c r="AD12" s="41">
        <f t="shared" si="25"/>
        <v>1</v>
      </c>
      <c r="AE12" s="41">
        <f t="shared" si="26"/>
      </c>
      <c r="AF12" s="41">
        <f t="shared" si="27"/>
      </c>
      <c r="AG12" s="41">
        <f t="shared" si="28"/>
      </c>
      <c r="AH12" s="41">
        <f t="shared" si="29"/>
      </c>
      <c r="AI12" s="41">
        <f t="shared" si="30"/>
      </c>
      <c r="AJ12" s="41">
        <f t="shared" si="31"/>
      </c>
      <c r="AK12" s="41">
        <f t="shared" si="32"/>
        <v>0</v>
      </c>
      <c r="AL12" s="41">
        <f t="shared" si="33"/>
        <v>0</v>
      </c>
      <c r="AM12" s="41">
        <f t="shared" si="34"/>
        <v>0</v>
      </c>
      <c r="AN12" s="41">
        <f t="shared" si="35"/>
        <v>0</v>
      </c>
      <c r="AO12" s="41">
        <f t="shared" si="36"/>
        <v>0</v>
      </c>
      <c r="AP12" s="41">
        <f t="shared" si="37"/>
        <v>0</v>
      </c>
      <c r="AR12" s="50" t="str">
        <f t="shared" si="0"/>
        <v>Human</v>
      </c>
      <c r="AS12" s="51" t="e">
        <f t="shared" si="1"/>
        <v>#N/A</v>
      </c>
      <c r="AT12" s="51" t="e">
        <f t="shared" si="2"/>
        <v>#N/A</v>
      </c>
      <c r="AU12" s="51" t="e">
        <f t="shared" si="3"/>
        <v>#N/A</v>
      </c>
      <c r="AV12" s="51" t="e">
        <f t="shared" si="4"/>
        <v>#N/A</v>
      </c>
      <c r="AW12" s="51" t="e">
        <f t="shared" si="5"/>
        <v>#N/A</v>
      </c>
      <c r="AX12" s="51" t="e">
        <f t="shared" si="6"/>
        <v>#N/A</v>
      </c>
      <c r="AY12" s="51" t="e">
        <f t="shared" si="7"/>
        <v>#N/A</v>
      </c>
      <c r="AZ12" s="51" t="e">
        <f t="shared" si="8"/>
        <v>#N/A</v>
      </c>
      <c r="BA12" s="51" t="e">
        <f t="shared" si="9"/>
        <v>#N/A</v>
      </c>
      <c r="BB12" s="41">
        <f t="shared" si="10"/>
        <v>0</v>
      </c>
      <c r="BC12" s="51">
        <f t="shared" si="38"/>
        <v>0</v>
      </c>
      <c r="BD12" s="41">
        <f>SUM($BC$8:$BC12)</f>
        <v>0</v>
      </c>
    </row>
    <row r="13" spans="2:56" ht="15.75" customHeight="1">
      <c r="B13" s="43"/>
      <c r="C13" s="40">
        <v>6</v>
      </c>
      <c r="D13" s="76"/>
      <c r="E13" s="76"/>
      <c r="F13" s="38">
        <f>IF(E13&lt;&gt;"",IF(OR(COUNTIF($E$7:$E13,$E13)&gt;VLOOKUP($E13,$AS$3:$BA$13,2,0),$BD13&gt;VLOOKUP($E13,$AS$3:$BA$13,2,0)),"error",TEXT(COUNTIF($E$7:$E13,$E13),0)&amp;"/"&amp;VLOOKUP($E13,$AS$3:$BA$13,2,0)),"")</f>
      </c>
      <c r="G13" s="78">
        <f t="shared" si="11"/>
      </c>
      <c r="H13" s="78">
        <f t="shared" si="12"/>
      </c>
      <c r="I13" s="78">
        <f t="shared" si="13"/>
      </c>
      <c r="J13" s="78">
        <f t="shared" si="14"/>
      </c>
      <c r="K13" s="39">
        <f t="shared" si="15"/>
      </c>
      <c r="L13" s="79"/>
      <c r="M13" s="80">
        <f t="shared" si="16"/>
      </c>
      <c r="N13" s="78"/>
      <c r="O13" s="78"/>
      <c r="P13" s="78"/>
      <c r="Q13" s="78"/>
      <c r="R13" s="78"/>
      <c r="S13" s="78"/>
      <c r="T13" s="40">
        <f t="shared" si="17"/>
      </c>
      <c r="U13" s="71">
        <f t="shared" si="18"/>
      </c>
      <c r="V13" s="43"/>
      <c r="X13" s="41">
        <f t="shared" si="19"/>
      </c>
      <c r="Y13" s="41">
        <f t="shared" si="20"/>
        <v>1</v>
      </c>
      <c r="Z13" s="41">
        <f t="shared" si="21"/>
        <v>1</v>
      </c>
      <c r="AA13" s="41">
        <f t="shared" si="22"/>
        <v>1</v>
      </c>
      <c r="AB13" s="41">
        <f t="shared" si="23"/>
        <v>1</v>
      </c>
      <c r="AC13" s="41">
        <f t="shared" si="24"/>
        <v>1</v>
      </c>
      <c r="AD13" s="41">
        <f t="shared" si="25"/>
        <v>1</v>
      </c>
      <c r="AE13" s="41">
        <f t="shared" si="26"/>
      </c>
      <c r="AF13" s="41">
        <f t="shared" si="27"/>
      </c>
      <c r="AG13" s="41">
        <f t="shared" si="28"/>
      </c>
      <c r="AH13" s="41">
        <f t="shared" si="29"/>
      </c>
      <c r="AI13" s="41">
        <f t="shared" si="30"/>
      </c>
      <c r="AJ13" s="41">
        <f t="shared" si="31"/>
      </c>
      <c r="AK13" s="41">
        <f t="shared" si="32"/>
        <v>0</v>
      </c>
      <c r="AL13" s="41">
        <f t="shared" si="33"/>
        <v>0</v>
      </c>
      <c r="AM13" s="41">
        <f t="shared" si="34"/>
        <v>0</v>
      </c>
      <c r="AN13" s="41">
        <f t="shared" si="35"/>
        <v>0</v>
      </c>
      <c r="AO13" s="41">
        <f t="shared" si="36"/>
        <v>0</v>
      </c>
      <c r="AP13" s="41">
        <f t="shared" si="37"/>
        <v>0</v>
      </c>
      <c r="AR13" s="50" t="str">
        <f t="shared" si="0"/>
        <v>Khemri</v>
      </c>
      <c r="AS13" s="51" t="e">
        <f t="shared" si="1"/>
        <v>#N/A</v>
      </c>
      <c r="AT13" s="51" t="e">
        <f t="shared" si="2"/>
        <v>#N/A</v>
      </c>
      <c r="AU13" s="51" t="e">
        <f t="shared" si="3"/>
        <v>#N/A</v>
      </c>
      <c r="AV13" s="51" t="e">
        <f t="shared" si="4"/>
        <v>#N/A</v>
      </c>
      <c r="AW13" s="51" t="e">
        <f t="shared" si="5"/>
        <v>#N/A</v>
      </c>
      <c r="AX13" s="51" t="e">
        <f t="shared" si="6"/>
        <v>#N/A</v>
      </c>
      <c r="AY13" s="51" t="e">
        <f t="shared" si="7"/>
        <v>#N/A</v>
      </c>
      <c r="AZ13" s="51" t="e">
        <f t="shared" si="8"/>
        <v>#N/A</v>
      </c>
      <c r="BA13" s="51" t="e">
        <f t="shared" si="9"/>
        <v>#N/A</v>
      </c>
      <c r="BB13" s="41">
        <f t="shared" si="10"/>
        <v>0</v>
      </c>
      <c r="BC13" s="51">
        <f t="shared" si="38"/>
        <v>0</v>
      </c>
      <c r="BD13" s="41">
        <f>SUM($BC$8:$BC13)</f>
        <v>0</v>
      </c>
    </row>
    <row r="14" spans="2:56" ht="15.75" customHeight="1">
      <c r="B14" s="43"/>
      <c r="C14" s="40">
        <v>7</v>
      </c>
      <c r="D14" s="76"/>
      <c r="E14" s="76"/>
      <c r="F14" s="38">
        <f>IF(E14&lt;&gt;"",IF(OR(COUNTIF($E$7:$E14,$E14)&gt;VLOOKUP($E14,$AS$3:$BA$13,2,0),$BD14&gt;VLOOKUP($E14,$AS$3:$BA$13,2,0)),"error",TEXT(COUNTIF($E$7:$E14,$E14),0)&amp;"/"&amp;VLOOKUP($E14,$AS$3:$BA$13,2,0)),"")</f>
      </c>
      <c r="G14" s="78">
        <f t="shared" si="11"/>
      </c>
      <c r="H14" s="78">
        <f t="shared" si="12"/>
      </c>
      <c r="I14" s="78">
        <f t="shared" si="13"/>
      </c>
      <c r="J14" s="78">
        <f t="shared" si="14"/>
      </c>
      <c r="K14" s="39">
        <f t="shared" si="15"/>
      </c>
      <c r="L14" s="79"/>
      <c r="M14" s="80">
        <f t="shared" si="16"/>
      </c>
      <c r="N14" s="78"/>
      <c r="O14" s="78"/>
      <c r="P14" s="78"/>
      <c r="Q14" s="78"/>
      <c r="R14" s="78"/>
      <c r="S14" s="78"/>
      <c r="T14" s="40">
        <f t="shared" si="17"/>
      </c>
      <c r="U14" s="71">
        <f t="shared" si="18"/>
      </c>
      <c r="V14" s="43"/>
      <c r="X14" s="41">
        <f t="shared" si="19"/>
      </c>
      <c r="Y14" s="41">
        <f t="shared" si="20"/>
        <v>1</v>
      </c>
      <c r="Z14" s="41">
        <f t="shared" si="21"/>
        <v>1</v>
      </c>
      <c r="AA14" s="41">
        <f t="shared" si="22"/>
        <v>1</v>
      </c>
      <c r="AB14" s="41">
        <f t="shared" si="23"/>
        <v>1</v>
      </c>
      <c r="AC14" s="41">
        <f t="shared" si="24"/>
        <v>1</v>
      </c>
      <c r="AD14" s="41">
        <f t="shared" si="25"/>
        <v>1</v>
      </c>
      <c r="AE14" s="41">
        <f t="shared" si="26"/>
      </c>
      <c r="AF14" s="41">
        <f t="shared" si="27"/>
      </c>
      <c r="AG14" s="41">
        <f t="shared" si="28"/>
      </c>
      <c r="AH14" s="41">
        <f t="shared" si="29"/>
      </c>
      <c r="AI14" s="41">
        <f t="shared" si="30"/>
      </c>
      <c r="AJ14" s="41">
        <f t="shared" si="31"/>
      </c>
      <c r="AK14" s="41">
        <f t="shared" si="32"/>
        <v>0</v>
      </c>
      <c r="AL14" s="41">
        <f t="shared" si="33"/>
        <v>0</v>
      </c>
      <c r="AM14" s="41">
        <f t="shared" si="34"/>
        <v>0</v>
      </c>
      <c r="AN14" s="41">
        <f t="shared" si="35"/>
        <v>0</v>
      </c>
      <c r="AO14" s="41">
        <f t="shared" si="36"/>
        <v>0</v>
      </c>
      <c r="AP14" s="41">
        <f t="shared" si="37"/>
        <v>0</v>
      </c>
      <c r="AR14" s="50" t="str">
        <f t="shared" si="0"/>
        <v>Lizardmen</v>
      </c>
      <c r="AS14" s="51">
        <f>IF(ISERROR(VLOOKUP(CONCATENATE($E$4,TEXT(ROW()-2,"0")),DBPlayers,3,0)),"",VLOOKUP(CONCATENATE($E$4,TEXT(ROW()-2,"0")),DBPlayers,3,0))</f>
      </c>
      <c r="AU14" s="51">
        <f>IF(ISERROR(VLOOKUP(CONCATENATE($E$4,TEXT(ROW()-2,"0")),DBPlayers,4,0)),"",VLOOKUP(CONCATENATE($E$4,TEXT(ROW()-2,"0")),DBPlayers,4,0))</f>
      </c>
      <c r="AV14" s="51">
        <f>IF(ISERROR(VLOOKUP(CONCATENATE($E$4,TEXT(ROW()-2,"0")),DBPlayers,5,0)),"",VLOOKUP(CONCATENATE($E$4,TEXT(ROW()-2,"0")),DBPlayers,5,0))</f>
      </c>
      <c r="AW14" s="51">
        <f>IF(ISERROR(VLOOKUP(CONCATENATE($E$4,TEXT(ROW()-2,"0")),DBPlayers,6,0)),"",VLOOKUP(CONCATENATE($E$4,TEXT(ROW()-2,"0")),DBPlayers,6,0))</f>
      </c>
      <c r="AX14" s="51">
        <f>IF(ISERROR(VLOOKUP(CONCATENATE($E$4,TEXT(ROW()-2,"0")),DBPlayers,7,0)),"",VLOOKUP(CONCATENATE($E$4,TEXT(ROW()-2,"0")),DBPlayers,7,0))</f>
      </c>
      <c r="AY14" s="51">
        <f>IF(ISERROR(VLOOKUP(CONCATENATE($E$4,TEXT(ROW()-2,"0")),DBPlayers,8,0)),"",VLOOKUP(CONCATENATE($E$4,TEXT(ROW()-2,"0")),DBPlayers,8,0))</f>
      </c>
      <c r="AZ14" s="51">
        <f>IF(ISERROR(VLOOKUP(CONCATENATE($E$4,TEXT(ROW()-2,"0")),DBPlayers,9,0)),"",VLOOKUP(CONCATENATE($E$4,TEXT(ROW()-2,"0")),DBPlayers,9,0))</f>
      </c>
      <c r="BB14" s="41">
        <f>SUM(BB3:BB13)</f>
        <v>0</v>
      </c>
      <c r="BC14" s="51">
        <f t="shared" si="38"/>
        <v>0</v>
      </c>
      <c r="BD14" s="41">
        <f>SUM($BC$8:$BC14)</f>
        <v>0</v>
      </c>
    </row>
    <row r="15" spans="2:56" ht="15.75" customHeight="1">
      <c r="B15" s="43"/>
      <c r="C15" s="40">
        <v>8</v>
      </c>
      <c r="D15" s="76"/>
      <c r="E15" s="76"/>
      <c r="F15" s="38">
        <f>IF(E15&lt;&gt;"",IF(OR(COUNTIF($E$7:$E15,$E15)&gt;VLOOKUP($E15,$AS$3:$BA$13,2,0),$BD15&gt;VLOOKUP($E15,$AS$3:$BA$13,2,0)),"error",TEXT(COUNTIF($E$7:$E15,$E15),0)&amp;"/"&amp;VLOOKUP($E15,$AS$3:$BA$13,2,0)),"")</f>
      </c>
      <c r="G15" s="78">
        <f t="shared" si="11"/>
      </c>
      <c r="H15" s="78">
        <f t="shared" si="12"/>
      </c>
      <c r="I15" s="78">
        <f t="shared" si="13"/>
      </c>
      <c r="J15" s="78">
        <f t="shared" si="14"/>
      </c>
      <c r="K15" s="39">
        <f t="shared" si="15"/>
      </c>
      <c r="L15" s="79"/>
      <c r="M15" s="80">
        <f t="shared" si="16"/>
      </c>
      <c r="N15" s="78"/>
      <c r="O15" s="78"/>
      <c r="P15" s="78"/>
      <c r="Q15" s="78"/>
      <c r="R15" s="78"/>
      <c r="S15" s="78"/>
      <c r="T15" s="40">
        <f t="shared" si="17"/>
      </c>
      <c r="U15" s="71">
        <f t="shared" si="18"/>
      </c>
      <c r="V15" s="43"/>
      <c r="X15" s="41">
        <f t="shared" si="19"/>
      </c>
      <c r="Y15" s="41">
        <f t="shared" si="20"/>
        <v>1</v>
      </c>
      <c r="Z15" s="41">
        <f t="shared" si="21"/>
        <v>1</v>
      </c>
      <c r="AA15" s="41">
        <f t="shared" si="22"/>
        <v>1</v>
      </c>
      <c r="AB15" s="41">
        <f t="shared" si="23"/>
        <v>1</v>
      </c>
      <c r="AC15" s="41">
        <f t="shared" si="24"/>
        <v>1</v>
      </c>
      <c r="AD15" s="41">
        <f t="shared" si="25"/>
        <v>1</v>
      </c>
      <c r="AE15" s="41">
        <f t="shared" si="26"/>
      </c>
      <c r="AF15" s="41">
        <f t="shared" si="27"/>
      </c>
      <c r="AG15" s="41">
        <f t="shared" si="28"/>
      </c>
      <c r="AH15" s="41">
        <f t="shared" si="29"/>
      </c>
      <c r="AI15" s="41">
        <f t="shared" si="30"/>
      </c>
      <c r="AJ15" s="41">
        <f t="shared" si="31"/>
      </c>
      <c r="AK15" s="41">
        <f t="shared" si="32"/>
        <v>0</v>
      </c>
      <c r="AL15" s="41">
        <f t="shared" si="33"/>
        <v>0</v>
      </c>
      <c r="AM15" s="41">
        <f t="shared" si="34"/>
        <v>0</v>
      </c>
      <c r="AN15" s="41">
        <f t="shared" si="35"/>
        <v>0</v>
      </c>
      <c r="AO15" s="41">
        <f t="shared" si="36"/>
        <v>0</v>
      </c>
      <c r="AP15" s="41">
        <f t="shared" si="37"/>
        <v>0</v>
      </c>
      <c r="AR15" s="50" t="str">
        <f t="shared" si="0"/>
        <v>Necromantic</v>
      </c>
      <c r="AS15" s="51">
        <f>IF(ISERROR(VLOOKUP(CONCATENATE($E$4,TEXT(ROW()-2,"0")),DBPlayers,3,0)),"",VLOOKUP(CONCATENATE($E$4,TEXT(ROW()-2,"0")),DBPlayers,3,0))</f>
      </c>
      <c r="AT15" s="51">
        <f>IF(ISERROR(VLOOKUP(CONCATENATE($E$4,TEXT(ROW()-2,"0")),DBPlayers,2,0)),"",VLOOKUP(CONCATENATE($E$4,TEXT(ROW()-2,"0")),DBPlayers,2,0))</f>
      </c>
      <c r="AU15" s="51">
        <f>IF(ISERROR(VLOOKUP(CONCATENATE($E$4,TEXT(ROW()-2,"0")),DBPlayers,4,0)),"",VLOOKUP(CONCATENATE($E$4,TEXT(ROW()-2,"0")),DBPlayers,4,0))</f>
      </c>
      <c r="AV15" s="51">
        <f>IF(ISERROR(VLOOKUP(CONCATENATE($E$4,TEXT(ROW()-2,"0")),DBPlayers,5,0)),"",VLOOKUP(CONCATENATE($E$4,TEXT(ROW()-2,"0")),DBPlayers,5,0))</f>
      </c>
      <c r="AW15" s="51">
        <f>IF(ISERROR(VLOOKUP(CONCATENATE($E$4,TEXT(ROW()-2,"0")),DBPlayers,6,0)),"",VLOOKUP(CONCATENATE($E$4,TEXT(ROW()-2,"0")),DBPlayers,6,0))</f>
      </c>
      <c r="AX15" s="51">
        <f>IF(ISERROR(VLOOKUP(CONCATENATE($E$4,TEXT(ROW()-2,"0")),DBPlayers,7,0)),"",VLOOKUP(CONCATENATE($E$4,TEXT(ROW()-2,"0")),DBPlayers,7,0))</f>
      </c>
      <c r="AY15" s="51">
        <f>IF(ISERROR(VLOOKUP(CONCATENATE($E$4,TEXT(ROW()-2,"0")),DBPlayers,8,0)),"",VLOOKUP(CONCATENATE($E$4,TEXT(ROW()-2,"0")),DBPlayers,8,0))</f>
      </c>
      <c r="AZ15" s="51">
        <f>IF(ISERROR(VLOOKUP(CONCATENATE($E$4,TEXT(ROW()-2,"0")),DBPlayers,9,0)),"",VLOOKUP(CONCATENATE($E$4,TEXT(ROW()-2,"0")),DBPlayers,9,0))</f>
      </c>
      <c r="BC15" s="51">
        <f t="shared" si="38"/>
        <v>0</v>
      </c>
      <c r="BD15" s="41">
        <f>SUM($BC$8:$BC15)</f>
        <v>0</v>
      </c>
    </row>
    <row r="16" spans="2:56" ht="15.75" customHeight="1">
      <c r="B16" s="43"/>
      <c r="C16" s="40">
        <v>9</v>
      </c>
      <c r="D16" s="76"/>
      <c r="E16" s="76"/>
      <c r="F16" s="38">
        <f>IF(E16&lt;&gt;"",IF(OR(COUNTIF($E$7:$E16,$E16)&gt;VLOOKUP($E16,$AS$3:$BA$13,2,0),$BD16&gt;VLOOKUP($E16,$AS$3:$BA$13,2,0)),"error",TEXT(COUNTIF($E$7:$E16,$E16),0)&amp;"/"&amp;VLOOKUP($E16,$AS$3:$BA$13,2,0)),"")</f>
      </c>
      <c r="G16" s="78">
        <f t="shared" si="11"/>
      </c>
      <c r="H16" s="78">
        <f t="shared" si="12"/>
      </c>
      <c r="I16" s="78">
        <f t="shared" si="13"/>
      </c>
      <c r="J16" s="78">
        <f t="shared" si="14"/>
      </c>
      <c r="K16" s="39">
        <f t="shared" si="15"/>
      </c>
      <c r="L16" s="79"/>
      <c r="M16" s="80">
        <f t="shared" si="16"/>
      </c>
      <c r="N16" s="78"/>
      <c r="O16" s="78"/>
      <c r="P16" s="78"/>
      <c r="Q16" s="78"/>
      <c r="R16" s="78"/>
      <c r="S16" s="78"/>
      <c r="T16" s="40">
        <f t="shared" si="17"/>
      </c>
      <c r="U16" s="71">
        <f t="shared" si="18"/>
      </c>
      <c r="V16" s="43"/>
      <c r="X16" s="41">
        <f t="shared" si="19"/>
      </c>
      <c r="Y16" s="41">
        <f t="shared" si="20"/>
        <v>1</v>
      </c>
      <c r="Z16" s="41">
        <f t="shared" si="21"/>
        <v>1</v>
      </c>
      <c r="AA16" s="41">
        <f t="shared" si="22"/>
        <v>1</v>
      </c>
      <c r="AB16" s="41">
        <f t="shared" si="23"/>
        <v>1</v>
      </c>
      <c r="AC16" s="41">
        <f t="shared" si="24"/>
        <v>1</v>
      </c>
      <c r="AD16" s="41">
        <f t="shared" si="25"/>
        <v>1</v>
      </c>
      <c r="AE16" s="41">
        <f t="shared" si="26"/>
      </c>
      <c r="AF16" s="41">
        <f t="shared" si="27"/>
      </c>
      <c r="AG16" s="41">
        <f t="shared" si="28"/>
      </c>
      <c r="AH16" s="41">
        <f t="shared" si="29"/>
      </c>
      <c r="AI16" s="41">
        <f t="shared" si="30"/>
      </c>
      <c r="AJ16" s="41">
        <f t="shared" si="31"/>
      </c>
      <c r="AK16" s="41">
        <f t="shared" si="32"/>
        <v>0</v>
      </c>
      <c r="AL16" s="41">
        <f t="shared" si="33"/>
        <v>0</v>
      </c>
      <c r="AM16" s="41">
        <f t="shared" si="34"/>
        <v>0</v>
      </c>
      <c r="AN16" s="41">
        <f t="shared" si="35"/>
        <v>0</v>
      </c>
      <c r="AO16" s="41">
        <f t="shared" si="36"/>
        <v>0</v>
      </c>
      <c r="AP16" s="41">
        <f t="shared" si="37"/>
        <v>0</v>
      </c>
      <c r="AR16" s="50" t="str">
        <f t="shared" si="0"/>
        <v>Norse</v>
      </c>
      <c r="AT16" s="51"/>
      <c r="BA16" s="51"/>
      <c r="BC16" s="51">
        <f t="shared" si="38"/>
        <v>0</v>
      </c>
      <c r="BD16" s="41">
        <f>SUM($BC$8:$BC16)</f>
        <v>0</v>
      </c>
    </row>
    <row r="17" spans="2:56" ht="15.75" customHeight="1">
      <c r="B17" s="43"/>
      <c r="C17" s="40">
        <v>10</v>
      </c>
      <c r="D17" s="76"/>
      <c r="E17" s="76"/>
      <c r="F17" s="38">
        <f>IF(E17&lt;&gt;"",IF(OR(COUNTIF($E$7:$E17,$E17)&gt;VLOOKUP($E17,$AS$3:$BA$13,2,0),$BD17&gt;VLOOKUP($E17,$AS$3:$BA$13,2,0)),"error",TEXT(COUNTIF($E$7:$E17,$E17),0)&amp;"/"&amp;VLOOKUP($E17,$AS$3:$BA$13,2,0)),"")</f>
      </c>
      <c r="G17" s="78">
        <f t="shared" si="11"/>
      </c>
      <c r="H17" s="78">
        <f t="shared" si="12"/>
      </c>
      <c r="I17" s="78">
        <f t="shared" si="13"/>
      </c>
      <c r="J17" s="78">
        <f t="shared" si="14"/>
      </c>
      <c r="K17" s="39">
        <f t="shared" si="15"/>
      </c>
      <c r="L17" s="79"/>
      <c r="M17" s="80">
        <f t="shared" si="16"/>
      </c>
      <c r="N17" s="78"/>
      <c r="O17" s="78"/>
      <c r="P17" s="78"/>
      <c r="Q17" s="78"/>
      <c r="R17" s="78"/>
      <c r="S17" s="78"/>
      <c r="T17" s="40">
        <f t="shared" si="17"/>
      </c>
      <c r="U17" s="71">
        <f t="shared" si="18"/>
      </c>
      <c r="V17" s="43"/>
      <c r="X17" s="41">
        <f t="shared" si="19"/>
      </c>
      <c r="Y17" s="41">
        <f t="shared" si="20"/>
        <v>1</v>
      </c>
      <c r="Z17" s="41">
        <f t="shared" si="21"/>
        <v>1</v>
      </c>
      <c r="AA17" s="41">
        <f t="shared" si="22"/>
        <v>1</v>
      </c>
      <c r="AB17" s="41">
        <f t="shared" si="23"/>
        <v>1</v>
      </c>
      <c r="AC17" s="41">
        <f t="shared" si="24"/>
        <v>1</v>
      </c>
      <c r="AD17" s="41">
        <f t="shared" si="25"/>
        <v>1</v>
      </c>
      <c r="AE17" s="41">
        <f t="shared" si="26"/>
      </c>
      <c r="AF17" s="41">
        <f t="shared" si="27"/>
      </c>
      <c r="AG17" s="41">
        <f t="shared" si="28"/>
      </c>
      <c r="AH17" s="41">
        <f t="shared" si="29"/>
      </c>
      <c r="AI17" s="41">
        <f t="shared" si="30"/>
      </c>
      <c r="AJ17" s="41">
        <f t="shared" si="31"/>
      </c>
      <c r="AK17" s="41">
        <f t="shared" si="32"/>
        <v>0</v>
      </c>
      <c r="AL17" s="41">
        <f t="shared" si="33"/>
        <v>0</v>
      </c>
      <c r="AM17" s="41">
        <f t="shared" si="34"/>
        <v>0</v>
      </c>
      <c r="AN17" s="41">
        <f t="shared" si="35"/>
        <v>0</v>
      </c>
      <c r="AO17" s="41">
        <f t="shared" si="36"/>
        <v>0</v>
      </c>
      <c r="AP17" s="41">
        <f t="shared" si="37"/>
        <v>0</v>
      </c>
      <c r="AR17" s="50" t="str">
        <f t="shared" si="0"/>
        <v>Nurgle's Rotters</v>
      </c>
      <c r="BC17" s="51">
        <f t="shared" si="38"/>
        <v>0</v>
      </c>
      <c r="BD17" s="41">
        <f>SUM($BC$8:$BC17)</f>
        <v>0</v>
      </c>
    </row>
    <row r="18" spans="2:56" ht="15.75" customHeight="1">
      <c r="B18" s="43"/>
      <c r="C18" s="40">
        <v>11</v>
      </c>
      <c r="D18" s="76"/>
      <c r="E18" s="76"/>
      <c r="F18" s="38">
        <f>IF(E18&lt;&gt;"",IF(OR(COUNTIF($E$7:$E18,$E18)&gt;VLOOKUP($E18,$AS$3:$BA$13,2,0),$BD18&gt;VLOOKUP($E18,$AS$3:$BA$13,2,0)),"error",TEXT(COUNTIF($E$7:$E18,$E18),0)&amp;"/"&amp;VLOOKUP($E18,$AS$3:$BA$13,2,0)),"")</f>
      </c>
      <c r="G18" s="78">
        <f t="shared" si="11"/>
      </c>
      <c r="H18" s="78">
        <f t="shared" si="12"/>
      </c>
      <c r="I18" s="78">
        <f t="shared" si="13"/>
      </c>
      <c r="J18" s="78">
        <f t="shared" si="14"/>
      </c>
      <c r="K18" s="39">
        <f t="shared" si="15"/>
      </c>
      <c r="L18" s="79"/>
      <c r="M18" s="80">
        <f t="shared" si="16"/>
      </c>
      <c r="N18" s="78"/>
      <c r="O18" s="78"/>
      <c r="P18" s="78"/>
      <c r="Q18" s="78"/>
      <c r="R18" s="78"/>
      <c r="S18" s="78"/>
      <c r="T18" s="40">
        <f t="shared" si="17"/>
      </c>
      <c r="U18" s="71">
        <f t="shared" si="18"/>
      </c>
      <c r="V18" s="43"/>
      <c r="X18" s="41">
        <f t="shared" si="19"/>
      </c>
      <c r="Y18" s="41">
        <f t="shared" si="20"/>
        <v>1</v>
      </c>
      <c r="Z18" s="41">
        <f t="shared" si="21"/>
        <v>1</v>
      </c>
      <c r="AA18" s="41">
        <f t="shared" si="22"/>
        <v>1</v>
      </c>
      <c r="AB18" s="41">
        <f t="shared" si="23"/>
        <v>1</v>
      </c>
      <c r="AC18" s="41">
        <f t="shared" si="24"/>
        <v>1</v>
      </c>
      <c r="AD18" s="41">
        <f t="shared" si="25"/>
        <v>1</v>
      </c>
      <c r="AE18" s="41">
        <f t="shared" si="26"/>
      </c>
      <c r="AF18" s="41">
        <f t="shared" si="27"/>
      </c>
      <c r="AG18" s="41">
        <f t="shared" si="28"/>
      </c>
      <c r="AH18" s="41">
        <f t="shared" si="29"/>
      </c>
      <c r="AI18" s="41">
        <f t="shared" si="30"/>
      </c>
      <c r="AJ18" s="41">
        <f t="shared" si="31"/>
      </c>
      <c r="AK18" s="41">
        <f t="shared" si="32"/>
        <v>0</v>
      </c>
      <c r="AL18" s="41">
        <f t="shared" si="33"/>
        <v>0</v>
      </c>
      <c r="AM18" s="41">
        <f t="shared" si="34"/>
        <v>0</v>
      </c>
      <c r="AN18" s="41">
        <f t="shared" si="35"/>
        <v>0</v>
      </c>
      <c r="AO18" s="41">
        <f t="shared" si="36"/>
        <v>0</v>
      </c>
      <c r="AP18" s="41">
        <f t="shared" si="37"/>
        <v>0</v>
      </c>
      <c r="AR18" s="50" t="str">
        <f t="shared" si="0"/>
        <v>Orc</v>
      </c>
      <c r="BC18" s="51">
        <f t="shared" si="38"/>
        <v>0</v>
      </c>
      <c r="BD18" s="41">
        <f>SUM($BC$8:$BC18)</f>
        <v>0</v>
      </c>
    </row>
    <row r="19" spans="2:56" ht="15.75" customHeight="1">
      <c r="B19" s="43"/>
      <c r="C19" s="40">
        <v>12</v>
      </c>
      <c r="D19" s="76"/>
      <c r="E19" s="76"/>
      <c r="F19" s="38">
        <f>IF(E19&lt;&gt;"",IF(OR(COUNTIF($E$7:$E19,$E19)&gt;VLOOKUP($E19,$AS$3:$BA$13,2,0),$BD19&gt;VLOOKUP($E19,$AS$3:$BA$13,2,0)),"error",TEXT(COUNTIF($E$7:$E19,$E19),0)&amp;"/"&amp;VLOOKUP($E19,$AS$3:$BA$13,2,0)),"")</f>
      </c>
      <c r="G19" s="78">
        <f t="shared" si="11"/>
      </c>
      <c r="H19" s="78">
        <f t="shared" si="12"/>
      </c>
      <c r="I19" s="78">
        <f t="shared" si="13"/>
      </c>
      <c r="J19" s="78">
        <f t="shared" si="14"/>
      </c>
      <c r="K19" s="39">
        <f t="shared" si="15"/>
      </c>
      <c r="L19" s="79"/>
      <c r="M19" s="80">
        <f t="shared" si="16"/>
      </c>
      <c r="N19" s="78"/>
      <c r="O19" s="78"/>
      <c r="P19" s="78"/>
      <c r="Q19" s="78"/>
      <c r="R19" s="78"/>
      <c r="S19" s="78"/>
      <c r="T19" s="40">
        <f t="shared" si="17"/>
      </c>
      <c r="U19" s="71">
        <f t="shared" si="18"/>
      </c>
      <c r="V19" s="43"/>
      <c r="X19" s="41">
        <f t="shared" si="19"/>
      </c>
      <c r="Y19" s="41">
        <f t="shared" si="20"/>
        <v>1</v>
      </c>
      <c r="Z19" s="41">
        <f t="shared" si="21"/>
        <v>1</v>
      </c>
      <c r="AA19" s="41">
        <f t="shared" si="22"/>
        <v>1</v>
      </c>
      <c r="AB19" s="41">
        <f t="shared" si="23"/>
        <v>1</v>
      </c>
      <c r="AC19" s="41">
        <f t="shared" si="24"/>
        <v>1</v>
      </c>
      <c r="AD19" s="41">
        <f t="shared" si="25"/>
        <v>1</v>
      </c>
      <c r="AE19" s="41">
        <f t="shared" si="26"/>
      </c>
      <c r="AF19" s="41">
        <f t="shared" si="27"/>
      </c>
      <c r="AG19" s="41">
        <f t="shared" si="28"/>
      </c>
      <c r="AH19" s="41">
        <f t="shared" si="29"/>
      </c>
      <c r="AI19" s="41">
        <f t="shared" si="30"/>
      </c>
      <c r="AJ19" s="41">
        <f t="shared" si="31"/>
      </c>
      <c r="AK19" s="41">
        <f t="shared" si="32"/>
        <v>0</v>
      </c>
      <c r="AL19" s="41">
        <f t="shared" si="33"/>
        <v>0</v>
      </c>
      <c r="AM19" s="41">
        <f t="shared" si="34"/>
        <v>0</v>
      </c>
      <c r="AN19" s="41">
        <f t="shared" si="35"/>
        <v>0</v>
      </c>
      <c r="AO19" s="41">
        <f t="shared" si="36"/>
        <v>0</v>
      </c>
      <c r="AP19" s="41">
        <f t="shared" si="37"/>
        <v>0</v>
      </c>
      <c r="AR19" s="50" t="str">
        <f t="shared" si="0"/>
        <v>Ogre</v>
      </c>
      <c r="BC19" s="51">
        <f t="shared" si="38"/>
        <v>0</v>
      </c>
      <c r="BD19" s="41">
        <f>SUM($BC$8:$BC19)</f>
        <v>0</v>
      </c>
    </row>
    <row r="20" spans="2:56" ht="15.75" customHeight="1">
      <c r="B20" s="43"/>
      <c r="C20" s="40">
        <v>13</v>
      </c>
      <c r="D20" s="76"/>
      <c r="E20" s="76"/>
      <c r="F20" s="38">
        <f>IF(E20&lt;&gt;"",IF(OR(COUNTIF($E$7:$E20,$E20)&gt;VLOOKUP($E20,$AS$3:$BA$13,2,0),$BD20&gt;VLOOKUP($E20,$AS$3:$BA$13,2,0)),"error",TEXT(COUNTIF($E$7:$E20,$E20),0)&amp;"/"&amp;VLOOKUP($E20,$AS$3:$BA$13,2,0)),"")</f>
      </c>
      <c r="G20" s="78">
        <f t="shared" si="11"/>
      </c>
      <c r="H20" s="78">
        <f t="shared" si="12"/>
      </c>
      <c r="I20" s="78">
        <f t="shared" si="13"/>
      </c>
      <c r="J20" s="78">
        <f t="shared" si="14"/>
      </c>
      <c r="K20" s="39">
        <f t="shared" si="15"/>
      </c>
      <c r="L20" s="79"/>
      <c r="M20" s="80">
        <f t="shared" si="16"/>
      </c>
      <c r="N20" s="78"/>
      <c r="O20" s="78"/>
      <c r="P20" s="78"/>
      <c r="Q20" s="78"/>
      <c r="R20" s="78"/>
      <c r="S20" s="78"/>
      <c r="T20" s="40">
        <f t="shared" si="17"/>
      </c>
      <c r="U20" s="71">
        <f t="shared" si="18"/>
      </c>
      <c r="V20" s="43"/>
      <c r="X20" s="41">
        <f t="shared" si="19"/>
      </c>
      <c r="Y20" s="41">
        <f t="shared" si="20"/>
        <v>1</v>
      </c>
      <c r="Z20" s="41">
        <f t="shared" si="21"/>
        <v>1</v>
      </c>
      <c r="AA20" s="41">
        <f t="shared" si="22"/>
        <v>1</v>
      </c>
      <c r="AB20" s="41">
        <f t="shared" si="23"/>
        <v>1</v>
      </c>
      <c r="AC20" s="41">
        <f t="shared" si="24"/>
        <v>1</v>
      </c>
      <c r="AD20" s="41">
        <f t="shared" si="25"/>
        <v>1</v>
      </c>
      <c r="AE20" s="41">
        <f t="shared" si="26"/>
      </c>
      <c r="AF20" s="41">
        <f t="shared" si="27"/>
      </c>
      <c r="AG20" s="41">
        <f t="shared" si="28"/>
      </c>
      <c r="AH20" s="41">
        <f t="shared" si="29"/>
      </c>
      <c r="AI20" s="41">
        <f t="shared" si="30"/>
      </c>
      <c r="AJ20" s="41">
        <f t="shared" si="31"/>
      </c>
      <c r="AK20" s="41">
        <f t="shared" si="32"/>
        <v>0</v>
      </c>
      <c r="AL20" s="41">
        <f t="shared" si="33"/>
        <v>0</v>
      </c>
      <c r="AM20" s="41">
        <f t="shared" si="34"/>
        <v>0</v>
      </c>
      <c r="AN20" s="41">
        <f t="shared" si="35"/>
        <v>0</v>
      </c>
      <c r="AO20" s="41">
        <f t="shared" si="36"/>
        <v>0</v>
      </c>
      <c r="AP20" s="41">
        <f t="shared" si="37"/>
        <v>0</v>
      </c>
      <c r="AR20" s="50" t="str">
        <f t="shared" si="0"/>
        <v>Skaven</v>
      </c>
      <c r="BC20" s="51">
        <f t="shared" si="38"/>
        <v>0</v>
      </c>
      <c r="BD20" s="41">
        <f>SUM($BC$8:$BC20)</f>
        <v>0</v>
      </c>
    </row>
    <row r="21" spans="2:56" ht="15.75" customHeight="1">
      <c r="B21" s="43"/>
      <c r="C21" s="40">
        <v>14</v>
      </c>
      <c r="D21" s="76"/>
      <c r="E21" s="76"/>
      <c r="F21" s="38">
        <f>IF(E21&lt;&gt;"",IF(OR(COUNTIF($E$7:$E21,$E21)&gt;VLOOKUP($E21,$AS$3:$BA$13,2,0),$BD21&gt;VLOOKUP($E21,$AS$3:$BA$13,2,0)),"error",TEXT(COUNTIF($E$7:$E21,$E21),0)&amp;"/"&amp;VLOOKUP($E21,$AS$3:$BA$13,2,0)),"")</f>
      </c>
      <c r="G21" s="78">
        <f t="shared" si="11"/>
      </c>
      <c r="H21" s="78">
        <f t="shared" si="12"/>
      </c>
      <c r="I21" s="78">
        <f t="shared" si="13"/>
      </c>
      <c r="J21" s="78">
        <f t="shared" si="14"/>
      </c>
      <c r="K21" s="39">
        <f t="shared" si="15"/>
      </c>
      <c r="L21" s="79"/>
      <c r="M21" s="80">
        <f t="shared" si="16"/>
      </c>
      <c r="N21" s="78"/>
      <c r="O21" s="78"/>
      <c r="P21" s="78"/>
      <c r="Q21" s="78"/>
      <c r="R21" s="78"/>
      <c r="S21" s="78"/>
      <c r="T21" s="40">
        <f t="shared" si="17"/>
      </c>
      <c r="U21" s="71">
        <f t="shared" si="18"/>
      </c>
      <c r="V21" s="43"/>
      <c r="X21" s="41">
        <f t="shared" si="19"/>
      </c>
      <c r="Y21" s="41">
        <f t="shared" si="20"/>
        <v>1</v>
      </c>
      <c r="Z21" s="41">
        <f t="shared" si="21"/>
        <v>1</v>
      </c>
      <c r="AA21" s="41">
        <f t="shared" si="22"/>
        <v>1</v>
      </c>
      <c r="AB21" s="41">
        <f t="shared" si="23"/>
        <v>1</v>
      </c>
      <c r="AC21" s="41">
        <f t="shared" si="24"/>
        <v>1</v>
      </c>
      <c r="AD21" s="41">
        <f t="shared" si="25"/>
        <v>1</v>
      </c>
      <c r="AE21" s="41">
        <f t="shared" si="26"/>
      </c>
      <c r="AF21" s="41">
        <f t="shared" si="27"/>
      </c>
      <c r="AG21" s="41">
        <f t="shared" si="28"/>
      </c>
      <c r="AH21" s="41">
        <f t="shared" si="29"/>
      </c>
      <c r="AI21" s="41">
        <f t="shared" si="30"/>
      </c>
      <c r="AJ21" s="41">
        <f t="shared" si="31"/>
      </c>
      <c r="AK21" s="41">
        <f t="shared" si="32"/>
        <v>0</v>
      </c>
      <c r="AL21" s="41">
        <f t="shared" si="33"/>
        <v>0</v>
      </c>
      <c r="AM21" s="41">
        <f t="shared" si="34"/>
        <v>0</v>
      </c>
      <c r="AN21" s="41">
        <f t="shared" si="35"/>
        <v>0</v>
      </c>
      <c r="AO21" s="41">
        <f t="shared" si="36"/>
        <v>0</v>
      </c>
      <c r="AP21" s="41">
        <f t="shared" si="37"/>
        <v>0</v>
      </c>
      <c r="AR21" s="50" t="str">
        <f t="shared" si="0"/>
        <v>Undead</v>
      </c>
      <c r="BC21" s="51">
        <f t="shared" si="38"/>
        <v>0</v>
      </c>
      <c r="BD21" s="41">
        <f>SUM($BC$8:$BC21)</f>
        <v>0</v>
      </c>
    </row>
    <row r="22" spans="2:56" ht="15.75" customHeight="1">
      <c r="B22" s="43"/>
      <c r="C22" s="38">
        <v>15</v>
      </c>
      <c r="D22" s="77"/>
      <c r="E22" s="76"/>
      <c r="F22" s="38">
        <f>IF(E22&lt;&gt;"",IF(OR(COUNTIF($E$7:$E22,$E22)&gt;VLOOKUP($E22,$AS$3:$BA$13,2,0),$BD22&gt;VLOOKUP($E22,$AS$3:$BA$13,2,0)),"error",TEXT(COUNTIF($E$7:$E22,$E22),0)&amp;"/"&amp;VLOOKUP($E22,$AS$3:$BA$13,2,0)),"")</f>
      </c>
      <c r="G22" s="78">
        <f t="shared" si="11"/>
      </c>
      <c r="H22" s="78">
        <f t="shared" si="12"/>
      </c>
      <c r="I22" s="78">
        <f t="shared" si="13"/>
      </c>
      <c r="J22" s="78">
        <f t="shared" si="14"/>
      </c>
      <c r="K22" s="39">
        <f t="shared" si="15"/>
      </c>
      <c r="L22" s="79"/>
      <c r="M22" s="80">
        <f t="shared" si="16"/>
      </c>
      <c r="N22" s="78"/>
      <c r="O22" s="78"/>
      <c r="P22" s="78"/>
      <c r="Q22" s="78"/>
      <c r="R22" s="78"/>
      <c r="S22" s="78"/>
      <c r="T22" s="40">
        <f t="shared" si="17"/>
      </c>
      <c r="U22" s="71">
        <f t="shared" si="18"/>
      </c>
      <c r="V22" s="43"/>
      <c r="X22" s="41">
        <f t="shared" si="19"/>
      </c>
      <c r="Y22" s="41">
        <f t="shared" si="20"/>
        <v>1</v>
      </c>
      <c r="Z22" s="41">
        <f t="shared" si="21"/>
        <v>1</v>
      </c>
      <c r="AA22" s="41">
        <f t="shared" si="22"/>
        <v>1</v>
      </c>
      <c r="AB22" s="41">
        <f t="shared" si="23"/>
        <v>1</v>
      </c>
      <c r="AC22" s="41">
        <f t="shared" si="24"/>
        <v>1</v>
      </c>
      <c r="AD22" s="41">
        <f t="shared" si="25"/>
        <v>1</v>
      </c>
      <c r="AE22" s="41">
        <f t="shared" si="26"/>
      </c>
      <c r="AF22" s="41">
        <f t="shared" si="27"/>
      </c>
      <c r="AG22" s="41">
        <f t="shared" si="28"/>
      </c>
      <c r="AH22" s="41">
        <f t="shared" si="29"/>
      </c>
      <c r="AI22" s="41">
        <f t="shared" si="30"/>
      </c>
      <c r="AJ22" s="41">
        <f t="shared" si="31"/>
      </c>
      <c r="AK22" s="41">
        <f t="shared" si="32"/>
        <v>0</v>
      </c>
      <c r="AL22" s="41">
        <f t="shared" si="33"/>
        <v>0</v>
      </c>
      <c r="AM22" s="41">
        <f t="shared" si="34"/>
        <v>0</v>
      </c>
      <c r="AN22" s="41">
        <f t="shared" si="35"/>
        <v>0</v>
      </c>
      <c r="AO22" s="41">
        <f t="shared" si="36"/>
        <v>0</v>
      </c>
      <c r="AP22" s="41">
        <f t="shared" si="37"/>
        <v>0</v>
      </c>
      <c r="AR22" s="50" t="str">
        <f t="shared" si="0"/>
        <v>Vampire</v>
      </c>
      <c r="BC22" s="51">
        <f t="shared" si="38"/>
        <v>0</v>
      </c>
      <c r="BD22" s="41">
        <f>SUM($BC$8:$BC22)</f>
        <v>0</v>
      </c>
    </row>
    <row r="23" spans="2:56" ht="15.75" customHeight="1">
      <c r="B23" s="43"/>
      <c r="C23" s="38">
        <v>16</v>
      </c>
      <c r="D23" s="77"/>
      <c r="E23" s="76"/>
      <c r="F23" s="38">
        <f>IF(E23&lt;&gt;"",IF(OR(COUNTIF($E$7:$E23,$E23)&gt;VLOOKUP($E23,$AS$3:$BA$13,2,0),$BD23&gt;VLOOKUP($E23,$AS$3:$BA$13,2,0)),"error",TEXT(COUNTIF($E$7:$E23,$E23),0)&amp;"/"&amp;VLOOKUP($E23,$AS$3:$BA$13,2,0)),"")</f>
      </c>
      <c r="G23" s="78">
        <f t="shared" si="11"/>
      </c>
      <c r="H23" s="78">
        <f t="shared" si="12"/>
      </c>
      <c r="I23" s="78">
        <f t="shared" si="13"/>
      </c>
      <c r="J23" s="78">
        <f t="shared" si="14"/>
      </c>
      <c r="K23" s="39">
        <f t="shared" si="15"/>
      </c>
      <c r="L23" s="79"/>
      <c r="M23" s="80">
        <f t="shared" si="16"/>
      </c>
      <c r="N23" s="78"/>
      <c r="O23" s="78"/>
      <c r="P23" s="78"/>
      <c r="Q23" s="78"/>
      <c r="R23" s="78"/>
      <c r="S23" s="78"/>
      <c r="T23" s="40">
        <f t="shared" si="17"/>
      </c>
      <c r="U23" s="71">
        <f t="shared" si="18"/>
      </c>
      <c r="V23" s="43"/>
      <c r="X23" s="41">
        <f t="shared" si="19"/>
      </c>
      <c r="Y23" s="41">
        <f t="shared" si="20"/>
        <v>1</v>
      </c>
      <c r="Z23" s="41">
        <f t="shared" si="21"/>
        <v>1</v>
      </c>
      <c r="AA23" s="41">
        <f t="shared" si="22"/>
        <v>1</v>
      </c>
      <c r="AB23" s="41">
        <f t="shared" si="23"/>
        <v>1</v>
      </c>
      <c r="AC23" s="41">
        <f t="shared" si="24"/>
        <v>1</v>
      </c>
      <c r="AD23" s="41">
        <f t="shared" si="25"/>
        <v>1</v>
      </c>
      <c r="AE23" s="41">
        <f t="shared" si="26"/>
      </c>
      <c r="AF23" s="41">
        <f t="shared" si="27"/>
      </c>
      <c r="AG23" s="41">
        <f t="shared" si="28"/>
      </c>
      <c r="AH23" s="41">
        <f t="shared" si="29"/>
      </c>
      <c r="AI23" s="41">
        <f t="shared" si="30"/>
      </c>
      <c r="AJ23" s="41">
        <f t="shared" si="31"/>
      </c>
      <c r="AK23" s="41">
        <f t="shared" si="32"/>
        <v>0</v>
      </c>
      <c r="AL23" s="41">
        <f t="shared" si="33"/>
        <v>0</v>
      </c>
      <c r="AM23" s="41">
        <f t="shared" si="34"/>
        <v>0</v>
      </c>
      <c r="AN23" s="41">
        <f t="shared" si="35"/>
        <v>0</v>
      </c>
      <c r="AO23" s="41">
        <f t="shared" si="36"/>
        <v>0</v>
      </c>
      <c r="AP23" s="41">
        <f t="shared" si="37"/>
        <v>0</v>
      </c>
      <c r="AR23" s="50" t="str">
        <f t="shared" si="0"/>
        <v>Wood Elf</v>
      </c>
      <c r="BC23" s="51">
        <f t="shared" si="38"/>
        <v>0</v>
      </c>
      <c r="BD23" s="41">
        <f>SUM($BC$8:$BC23)</f>
        <v>0</v>
      </c>
    </row>
    <row r="24" spans="2:55" ht="2.25" customHeight="1">
      <c r="B24" s="43"/>
      <c r="C24" s="62"/>
      <c r="D24" s="63"/>
      <c r="E24" s="63"/>
      <c r="F24" s="64"/>
      <c r="G24" s="55"/>
      <c r="H24" s="55"/>
      <c r="I24" s="55"/>
      <c r="J24" s="55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72"/>
      <c r="V24" s="43"/>
      <c r="AF24" s="41">
        <f>TRIM(IF($Y24&gt;1,MID($L24,$Y24+1,$Z24-1),""))</f>
      </c>
      <c r="AR24" s="50"/>
      <c r="BC24" s="51"/>
    </row>
    <row r="25" spans="2:55" ht="11.25" customHeight="1">
      <c r="B25" s="43"/>
      <c r="C25" s="40"/>
      <c r="D25" s="59" t="s">
        <v>450</v>
      </c>
      <c r="E25" s="65">
        <f>COUNTIF(G8:G23,"&gt;0")</f>
        <v>0</v>
      </c>
      <c r="F25" s="40">
        <f>IF(ISERROR(VLOOKUP(#REF!,$AS$3:$BA$13,2,0)),"",VLOOKUP(#REF!,$AS$3:$BA$13,2,0))</f>
      </c>
      <c r="G25" s="40"/>
      <c r="H25" s="40"/>
      <c r="I25" s="40"/>
      <c r="J25" s="40"/>
      <c r="K25" s="66"/>
      <c r="L25" s="66"/>
      <c r="M25" s="66"/>
      <c r="N25" s="58" t="s">
        <v>346</v>
      </c>
      <c r="O25" s="40">
        <f aca="true" t="shared" si="39" ref="O25:U25">SUM(O8:O23)</f>
        <v>0</v>
      </c>
      <c r="P25" s="40">
        <f t="shared" si="39"/>
        <v>0</v>
      </c>
      <c r="Q25" s="40">
        <f t="shared" si="39"/>
        <v>0</v>
      </c>
      <c r="R25" s="40">
        <f t="shared" si="39"/>
        <v>0</v>
      </c>
      <c r="S25" s="40">
        <f t="shared" si="39"/>
        <v>0</v>
      </c>
      <c r="T25" s="40">
        <f t="shared" si="39"/>
        <v>0</v>
      </c>
      <c r="U25" s="58">
        <f t="shared" si="39"/>
        <v>0</v>
      </c>
      <c r="V25" s="4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0" t="e">
        <f aca="true" t="shared" si="40" ref="AR25:AR54">INDEX(DBTeams,ROW()-2,1)</f>
        <v>#REF!</v>
      </c>
      <c r="BC25" s="51"/>
    </row>
    <row r="26" spans="1:55" ht="2.25" customHeight="1">
      <c r="A26" s="54"/>
      <c r="B26" s="63"/>
      <c r="C26" s="62"/>
      <c r="D26" s="63"/>
      <c r="E26" s="63"/>
      <c r="F26" s="64"/>
      <c r="G26" s="55"/>
      <c r="H26" s="55"/>
      <c r="I26" s="55"/>
      <c r="J26" s="55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72"/>
      <c r="V26" s="4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0" t="e">
        <f t="shared" si="40"/>
        <v>#REF!</v>
      </c>
      <c r="BC26" s="51"/>
    </row>
    <row r="27" spans="1:55" ht="12.75">
      <c r="A27" s="54"/>
      <c r="B27" s="63"/>
      <c r="C27" s="66"/>
      <c r="D27" s="66"/>
      <c r="E27" s="66"/>
      <c r="F27" s="66"/>
      <c r="G27" s="66"/>
      <c r="H27" s="66"/>
      <c r="I27" s="66"/>
      <c r="J27" s="66"/>
      <c r="K27" s="66"/>
      <c r="L27" s="58"/>
      <c r="M27" s="66"/>
      <c r="N27" s="58" t="s">
        <v>347</v>
      </c>
      <c r="O27" s="78">
        <v>0</v>
      </c>
      <c r="P27" s="58" t="s">
        <v>348</v>
      </c>
      <c r="Q27" s="87">
        <f>IF(ISERROR(VLOOKUP($E$4,Database!$A$4:$B$28,2,0)),0,VLOOKUP($E$4,Database!$A$4:$B$28,2,0))</f>
        <v>0</v>
      </c>
      <c r="R27" s="87"/>
      <c r="S27" s="87"/>
      <c r="T27" s="66" t="s">
        <v>349</v>
      </c>
      <c r="U27" s="58">
        <f>O27*Q27</f>
        <v>0</v>
      </c>
      <c r="V27" s="43"/>
      <c r="W27" s="53"/>
      <c r="X27" s="53"/>
      <c r="Y27" s="53"/>
      <c r="Z27" s="53"/>
      <c r="AA27" s="53"/>
      <c r="AB27" s="53"/>
      <c r="AC27" s="53"/>
      <c r="AD27" s="53"/>
      <c r="AF27" s="53"/>
      <c r="AG27" s="53"/>
      <c r="AH27" s="53"/>
      <c r="AI27" s="53"/>
      <c r="AJ27" s="53"/>
      <c r="AL27" s="53"/>
      <c r="AM27" s="53"/>
      <c r="AN27" s="53"/>
      <c r="AO27" s="53"/>
      <c r="AP27" s="53"/>
      <c r="AQ27" s="53"/>
      <c r="AR27" s="50" t="e">
        <f t="shared" si="40"/>
        <v>#REF!</v>
      </c>
      <c r="BC27" s="51"/>
    </row>
    <row r="28" spans="1:44" ht="12.75">
      <c r="A28" s="54"/>
      <c r="B28" s="63"/>
      <c r="C28" s="66"/>
      <c r="D28" s="66"/>
      <c r="E28" s="40" t="s">
        <v>350</v>
      </c>
      <c r="F28" s="40"/>
      <c r="G28" s="66"/>
      <c r="H28" s="40" t="s">
        <v>351</v>
      </c>
      <c r="I28" s="66"/>
      <c r="J28" s="66"/>
      <c r="K28" s="66"/>
      <c r="L28" s="58"/>
      <c r="M28" s="66"/>
      <c r="N28" s="58" t="s">
        <v>352</v>
      </c>
      <c r="O28" s="78">
        <v>0</v>
      </c>
      <c r="P28" s="58" t="s">
        <v>348</v>
      </c>
      <c r="Q28" s="87">
        <v>10000</v>
      </c>
      <c r="R28" s="87"/>
      <c r="S28" s="87"/>
      <c r="T28" s="66" t="s">
        <v>349</v>
      </c>
      <c r="U28" s="58">
        <f>Q28*O28</f>
        <v>0</v>
      </c>
      <c r="V28" s="4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0" t="e">
        <f t="shared" si="40"/>
        <v>#REF!</v>
      </c>
    </row>
    <row r="29" spans="2:44" ht="12.75">
      <c r="B29" s="43"/>
      <c r="C29" s="66"/>
      <c r="D29" s="58" t="s">
        <v>353</v>
      </c>
      <c r="E29" s="40">
        <f>IF(ISERROR(VLOOKUP($E$3,Finalranking,4,FALSE)),"",VLOOKUP($E$3,Finalranking,4,FALSE))</f>
      </c>
      <c r="F29" s="40">
        <f>IF(ISERROR(VLOOKUP($E$3,Tabelle,7,FALSE)),"","("&amp;VLOOKUP($E$3,Tabelle,7,FALSE)&amp;".)")</f>
      </c>
      <c r="G29" s="66"/>
      <c r="H29" s="40">
        <f>IF(ISERROR($BF$3),"",$BE$3&amp;" - "&amp;$BF$3&amp;" - "&amp;$BG$3)</f>
      </c>
      <c r="I29" s="66"/>
      <c r="J29" s="66"/>
      <c r="K29" s="66"/>
      <c r="L29" s="58"/>
      <c r="M29" s="66"/>
      <c r="N29" s="58" t="s">
        <v>354</v>
      </c>
      <c r="O29" s="78">
        <v>0</v>
      </c>
      <c r="P29" s="58" t="s">
        <v>348</v>
      </c>
      <c r="Q29" s="87">
        <v>10000</v>
      </c>
      <c r="R29" s="87"/>
      <c r="S29" s="87"/>
      <c r="T29" s="66" t="s">
        <v>349</v>
      </c>
      <c r="U29" s="58">
        <f>Q29*O29</f>
        <v>0</v>
      </c>
      <c r="V29" s="43"/>
      <c r="W29" s="53"/>
      <c r="X29" s="53"/>
      <c r="Y29" s="53"/>
      <c r="Z29" s="53"/>
      <c r="AA29" s="53"/>
      <c r="AB29" s="53"/>
      <c r="AC29" s="53"/>
      <c r="AD29" s="53"/>
      <c r="AF29" s="53"/>
      <c r="AG29" s="53"/>
      <c r="AH29" s="53"/>
      <c r="AI29" s="53"/>
      <c r="AJ29" s="53"/>
      <c r="AL29" s="53"/>
      <c r="AM29" s="53"/>
      <c r="AN29" s="53"/>
      <c r="AO29" s="53"/>
      <c r="AP29" s="53"/>
      <c r="AQ29" s="53"/>
      <c r="AR29" s="50" t="e">
        <f t="shared" si="40"/>
        <v>#REF!</v>
      </c>
    </row>
    <row r="30" spans="2:44" ht="12.75">
      <c r="B30" s="43"/>
      <c r="C30" s="66"/>
      <c r="D30" s="58" t="s">
        <v>355</v>
      </c>
      <c r="E30" s="40">
        <f>IF(ISERROR(VLOOKUP($E$3,Finalranking,5,FALSE)),"",VLOOKUP($E$3,Finalranking,5,FALSE))</f>
      </c>
      <c r="F30" s="40"/>
      <c r="G30" s="66"/>
      <c r="H30" s="40">
        <f>IF(H29&lt;&gt;"",TEXT(VLOOKUP($E$3,#REF!,2,FALSE),0)&amp;" : "&amp;TEXT(VLOOKUP($E$3,#REF!,3,FALSE)*-1,0),"")</f>
      </c>
      <c r="I30" s="66"/>
      <c r="J30" s="66"/>
      <c r="K30" s="66"/>
      <c r="L30" s="58"/>
      <c r="M30" s="66"/>
      <c r="N30" s="58" t="s">
        <v>356</v>
      </c>
      <c r="O30" s="78">
        <v>0</v>
      </c>
      <c r="P30" s="58" t="s">
        <v>348</v>
      </c>
      <c r="Q30" s="87">
        <v>10000</v>
      </c>
      <c r="R30" s="87"/>
      <c r="S30" s="87"/>
      <c r="T30" s="66" t="s">
        <v>349</v>
      </c>
      <c r="U30" s="58">
        <f>Q30*O30</f>
        <v>0</v>
      </c>
      <c r="V30" s="4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0" t="e">
        <f t="shared" si="40"/>
        <v>#REF!</v>
      </c>
    </row>
    <row r="31" spans="2:44" ht="12.75">
      <c r="B31" s="43"/>
      <c r="C31" s="66"/>
      <c r="D31" s="58" t="s">
        <v>357</v>
      </c>
      <c r="E31" s="40">
        <f>IF(ISERROR(VLOOKUP($E$3,Finalranking,6,FALSE)),"",VLOOKUP($E$3,Finalranking,6,FALSE))</f>
      </c>
      <c r="F31" s="40"/>
      <c r="G31" s="66"/>
      <c r="H31" s="40">
        <f>IF(H29&lt;&gt;"",TEXT(VLOOKUP($E$3,#REF!,7,FALSE),0)&amp;" : "&amp;TEXT(VLOOKUP($E$3,#REF!,8,FALSE)*-1,0),"")</f>
      </c>
      <c r="I31" s="66"/>
      <c r="J31" s="66"/>
      <c r="K31" s="66"/>
      <c r="L31" s="58"/>
      <c r="M31" s="66"/>
      <c r="N31" s="58" t="s">
        <v>358</v>
      </c>
      <c r="O31" s="78">
        <v>0</v>
      </c>
      <c r="P31" s="58" t="s">
        <v>348</v>
      </c>
      <c r="Q31" s="87">
        <v>50000</v>
      </c>
      <c r="R31" s="87"/>
      <c r="S31" s="87"/>
      <c r="T31" s="66" t="s">
        <v>349</v>
      </c>
      <c r="U31" s="58">
        <f>Q31*O31</f>
        <v>0</v>
      </c>
      <c r="V31" s="4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0" t="e">
        <f t="shared" si="40"/>
        <v>#REF!</v>
      </c>
    </row>
    <row r="32" spans="2:44" ht="12.75">
      <c r="B32" s="43"/>
      <c r="C32" s="66"/>
      <c r="D32" s="58" t="s">
        <v>359</v>
      </c>
      <c r="E32" s="67"/>
      <c r="F32" s="66"/>
      <c r="G32" s="66"/>
      <c r="H32" s="40">
        <f>IF(H29="","",TEXT(VLOOKUP($E$3,#REF!,12,FALSE),0))</f>
      </c>
      <c r="I32" s="66"/>
      <c r="J32" s="66"/>
      <c r="K32" s="66"/>
      <c r="L32" s="58"/>
      <c r="M32" s="66"/>
      <c r="N32" s="58" t="s">
        <v>360</v>
      </c>
      <c r="O32" s="66"/>
      <c r="P32" s="58"/>
      <c r="Q32" s="40"/>
      <c r="R32" s="40"/>
      <c r="S32" s="40"/>
      <c r="T32" s="66"/>
      <c r="U32" s="81">
        <v>0</v>
      </c>
      <c r="V32" s="4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0" t="e">
        <f t="shared" si="40"/>
        <v>#REF!</v>
      </c>
    </row>
    <row r="33" spans="2:44" ht="2.25" customHeight="1">
      <c r="B33" s="43"/>
      <c r="C33" s="66"/>
      <c r="D33" s="66"/>
      <c r="E33" s="66"/>
      <c r="F33" s="66"/>
      <c r="G33" s="66"/>
      <c r="H33" s="66"/>
      <c r="I33" s="66"/>
      <c r="J33" s="66"/>
      <c r="K33" s="66"/>
      <c r="L33" s="68"/>
      <c r="M33" s="66"/>
      <c r="N33" s="68"/>
      <c r="O33" s="68"/>
      <c r="P33" s="43"/>
      <c r="Q33" s="43"/>
      <c r="R33" s="43"/>
      <c r="S33" s="43"/>
      <c r="T33" s="43"/>
      <c r="U33" s="55"/>
      <c r="V33" s="4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0" t="e">
        <f t="shared" si="40"/>
        <v>#REF!</v>
      </c>
    </row>
    <row r="34" spans="2:44" ht="15.75" customHeight="1">
      <c r="B34" s="43"/>
      <c r="C34" s="66"/>
      <c r="D34" s="58" t="s">
        <v>362</v>
      </c>
      <c r="E34" s="66"/>
      <c r="F34" s="66"/>
      <c r="G34" s="88">
        <v>0</v>
      </c>
      <c r="H34" s="88"/>
      <c r="I34" s="88"/>
      <c r="J34" s="66"/>
      <c r="K34" s="66"/>
      <c r="L34" s="68"/>
      <c r="M34" s="66"/>
      <c r="N34" s="68"/>
      <c r="O34" s="68"/>
      <c r="P34" s="55" t="str">
        <f>"&gt;&gt;"</f>
        <v>&gt;&gt;</v>
      </c>
      <c r="Q34" s="69"/>
      <c r="R34" s="69"/>
      <c r="S34" s="69"/>
      <c r="T34" s="70" t="s">
        <v>361</v>
      </c>
      <c r="U34" s="70">
        <f>SUM($X$8:$X$23,$U$27:$U$32)/10000</f>
        <v>0</v>
      </c>
      <c r="V34" s="4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0" t="e">
        <f t="shared" si="40"/>
        <v>#REF!</v>
      </c>
    </row>
    <row r="35" spans="2:44" ht="2.25" customHeight="1">
      <c r="B35" s="43"/>
      <c r="C35" s="55"/>
      <c r="D35" s="43"/>
      <c r="E35" s="43"/>
      <c r="F35" s="56"/>
      <c r="G35" s="55"/>
      <c r="H35" s="55"/>
      <c r="I35" s="55"/>
      <c r="J35" s="55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55"/>
      <c r="V35" s="4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0" t="e">
        <f t="shared" si="40"/>
        <v>#REF!</v>
      </c>
    </row>
    <row r="36" ht="12.75">
      <c r="AR36" s="50" t="e">
        <f t="shared" si="40"/>
        <v>#REF!</v>
      </c>
    </row>
    <row r="37" ht="12.75">
      <c r="AR37" s="50" t="e">
        <f t="shared" si="40"/>
        <v>#REF!</v>
      </c>
    </row>
    <row r="38" ht="12.75">
      <c r="AR38" s="50" t="e">
        <f t="shared" si="40"/>
        <v>#REF!</v>
      </c>
    </row>
    <row r="39" ht="12.75">
      <c r="AR39" s="50" t="e">
        <f t="shared" si="40"/>
        <v>#REF!</v>
      </c>
    </row>
    <row r="40" ht="12.75">
      <c r="AR40" s="50" t="e">
        <f t="shared" si="40"/>
        <v>#REF!</v>
      </c>
    </row>
    <row r="41" ht="12.75">
      <c r="AR41" s="50" t="e">
        <f t="shared" si="40"/>
        <v>#REF!</v>
      </c>
    </row>
    <row r="42" ht="12.75">
      <c r="AR42" s="50" t="e">
        <f t="shared" si="40"/>
        <v>#REF!</v>
      </c>
    </row>
    <row r="43" ht="12.75">
      <c r="AR43" s="50" t="e">
        <f t="shared" si="40"/>
        <v>#REF!</v>
      </c>
    </row>
    <row r="44" ht="12.75">
      <c r="AR44" s="50" t="e">
        <f t="shared" si="40"/>
        <v>#REF!</v>
      </c>
    </row>
    <row r="45" ht="12.75">
      <c r="AR45" s="50" t="e">
        <f t="shared" si="40"/>
        <v>#REF!</v>
      </c>
    </row>
    <row r="46" ht="12.75">
      <c r="AR46" s="50" t="e">
        <f t="shared" si="40"/>
        <v>#REF!</v>
      </c>
    </row>
    <row r="47" ht="12.75">
      <c r="AR47" s="50" t="e">
        <f t="shared" si="40"/>
        <v>#REF!</v>
      </c>
    </row>
    <row r="48" ht="12.75">
      <c r="AR48" s="50" t="e">
        <f t="shared" si="40"/>
        <v>#REF!</v>
      </c>
    </row>
    <row r="49" ht="12.75">
      <c r="AR49" s="50" t="e">
        <f t="shared" si="40"/>
        <v>#REF!</v>
      </c>
    </row>
    <row r="50" ht="12.75">
      <c r="AR50" s="50" t="e">
        <f t="shared" si="40"/>
        <v>#REF!</v>
      </c>
    </row>
    <row r="51" ht="12.75">
      <c r="AR51" s="50" t="e">
        <f t="shared" si="40"/>
        <v>#REF!</v>
      </c>
    </row>
    <row r="52" ht="12.75">
      <c r="AR52" s="50" t="e">
        <f t="shared" si="40"/>
        <v>#REF!</v>
      </c>
    </row>
    <row r="53" ht="12.75">
      <c r="AR53" s="50" t="e">
        <f t="shared" si="40"/>
        <v>#REF!</v>
      </c>
    </row>
    <row r="54" ht="12.75">
      <c r="AR54" s="50" t="e">
        <f t="shared" si="40"/>
        <v>#REF!</v>
      </c>
    </row>
  </sheetData>
  <sheetProtection sheet="1" objects="1" scenarios="1" selectLockedCells="1"/>
  <mergeCells count="15">
    <mergeCell ref="C3:D3"/>
    <mergeCell ref="E3:K3"/>
    <mergeCell ref="C4:D4"/>
    <mergeCell ref="G4:J4"/>
    <mergeCell ref="C5:D5"/>
    <mergeCell ref="E5:K5"/>
    <mergeCell ref="Y5:AD5"/>
    <mergeCell ref="AE5:AJ5"/>
    <mergeCell ref="Q30:S30"/>
    <mergeCell ref="Q31:S31"/>
    <mergeCell ref="G34:I34"/>
    <mergeCell ref="AK5:AP5"/>
    <mergeCell ref="Q27:S27"/>
    <mergeCell ref="Q28:S28"/>
    <mergeCell ref="Q29:S29"/>
  </mergeCells>
  <dataValidations count="4">
    <dataValidation type="list" allowBlank="1" showInputMessage="1" showErrorMessage="1" sqref="E4">
      <formula1>OFFSET(AR3:AR54,0,0,ROWS(DBTeams),1)</formula1>
    </dataValidation>
    <dataValidation type="list" allowBlank="1" showInputMessage="1" showErrorMessage="1" sqref="E24">
      <formula1>$AS$3:$AS$9</formula1>
    </dataValidation>
    <dataValidation type="list" allowBlank="1" showInputMessage="1" showErrorMessage="1" sqref="E8:E23">
      <formula1>OFFSET($AS$3:$AS$13,0,0,$BB$14,1)</formula1>
    </dataValidation>
    <dataValidation type="list" allowBlank="1" showInputMessage="1" showErrorMessage="1" sqref="K4">
      <formula1>Conferences</formula1>
    </dataValidation>
  </dataValidations>
  <printOptions gridLines="1" horizontalCentered="1" verticalCentered="1"/>
  <pageMargins left="0.3937007874015748" right="0.3937007874015748" top="0.984251968503937" bottom="0.984251968503937" header="0.5118110236220472" footer="0.5118110236220472"/>
  <pageSetup blackAndWhite="1"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</dc:creator>
  <cp:keywords/>
  <dc:description/>
  <cp:lastModifiedBy>mskyba</cp:lastModifiedBy>
  <cp:lastPrinted>2006-04-27T11:02:00Z</cp:lastPrinted>
  <dcterms:created xsi:type="dcterms:W3CDTF">2002-09-17T20:45:08Z</dcterms:created>
  <dcterms:modified xsi:type="dcterms:W3CDTF">2006-04-27T11:27:14Z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-307654922</vt:i4>
  </property>
  <property fmtid="{D5CDD505-2E9C-101B-9397-08002B2CF9AE}" pid="3" name="_EmailSubject">
    <vt:lpwstr>BB Rostre.</vt:lpwstr>
  </property>
  <property fmtid="{D5CDD505-2E9C-101B-9397-08002B2CF9AE}" pid="4" name="_AuthorEmail">
    <vt:lpwstr>dalibor.szegho@accenture.com</vt:lpwstr>
  </property>
  <property fmtid="{D5CDD505-2E9C-101B-9397-08002B2CF9AE}" pid="5" name="_AuthorEmailDisplayName">
    <vt:lpwstr>Szegho, Dalibor</vt:lpwstr>
  </property>
  <property fmtid="{D5CDD505-2E9C-101B-9397-08002B2CF9AE}" pid="6" name="_PreviousAdHocReviewCycleID">
    <vt:i4>-2057364687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